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ylin.Clavell\Desktop\Dr. Gable Meetings\Graylin Recorded Meetings\SSC\2020\1.15.20\"/>
    </mc:Choice>
  </mc:AlternateContent>
  <bookViews>
    <workbookView xWindow="120" yWindow="90" windowWidth="21075" windowHeight="10035"/>
  </bookViews>
  <sheets>
    <sheet name="As of 1-9-2020" sheetId="29" r:id="rId1"/>
  </sheets>
  <definedNames>
    <definedName name="_xlnm.Print_Area" localSheetId="0">'As of 1-9-2020'!$A$1:$BR$76</definedName>
  </definedNames>
  <calcPr calcId="162913"/>
</workbook>
</file>

<file path=xl/calcChain.xml><?xml version="1.0" encoding="utf-8"?>
<calcChain xmlns="http://schemas.openxmlformats.org/spreadsheetml/2006/main">
  <c r="BP42" i="29" l="1"/>
  <c r="BP20" i="29" l="1"/>
  <c r="BP21" i="29" l="1"/>
  <c r="BR74" i="29" l="1"/>
  <c r="BN33" i="29"/>
  <c r="BN42" i="29"/>
  <c r="BN48" i="29"/>
  <c r="BP48" i="29"/>
  <c r="BP51" i="29" s="1"/>
  <c r="BN20" i="29"/>
  <c r="BN26" i="29"/>
  <c r="BP26" i="29"/>
  <c r="BP29" i="29" s="1"/>
  <c r="BP30" i="29" s="1"/>
  <c r="BP50" i="29"/>
  <c r="BF48" i="29"/>
  <c r="BD33" i="29"/>
  <c r="BD48" i="29"/>
  <c r="BP28" i="29"/>
  <c r="BF76" i="29"/>
  <c r="BP70" i="29"/>
  <c r="BP69" i="29"/>
  <c r="BP68" i="29"/>
  <c r="BP67" i="29"/>
  <c r="BP64" i="29"/>
  <c r="BP63" i="29"/>
  <c r="BP62" i="29"/>
  <c r="BP60" i="29"/>
  <c r="BP59" i="29"/>
  <c r="BP58" i="29"/>
  <c r="BP66" i="29"/>
  <c r="BP57" i="29"/>
  <c r="BN74" i="29"/>
  <c r="BN70" i="29"/>
  <c r="BN69" i="29"/>
  <c r="BN68" i="29"/>
  <c r="BN67" i="29"/>
  <c r="BN64" i="29"/>
  <c r="BN63" i="29"/>
  <c r="BN62" i="29"/>
  <c r="BN60" i="29"/>
  <c r="BN59" i="29"/>
  <c r="BN58" i="29"/>
  <c r="BN50" i="29"/>
  <c r="BN28" i="29"/>
  <c r="BN66" i="29"/>
  <c r="T75" i="29"/>
  <c r="BL74" i="29"/>
  <c r="AF74" i="29"/>
  <c r="AB74" i="29"/>
  <c r="Z74" i="29"/>
  <c r="V74" i="29"/>
  <c r="BL70" i="29"/>
  <c r="BJ70" i="29"/>
  <c r="AT70" i="29"/>
  <c r="AR70" i="29"/>
  <c r="AP70" i="29"/>
  <c r="AN70" i="29"/>
  <c r="AL70" i="29"/>
  <c r="AJ70" i="29"/>
  <c r="AF70" i="29"/>
  <c r="AD70" i="29"/>
  <c r="AB70" i="29"/>
  <c r="Z70" i="29"/>
  <c r="X70" i="29"/>
  <c r="V70" i="29"/>
  <c r="T70" i="29"/>
  <c r="R70" i="29"/>
  <c r="P70" i="29"/>
  <c r="BL69" i="29"/>
  <c r="BJ69" i="29"/>
  <c r="BH69" i="29"/>
  <c r="BF69" i="29"/>
  <c r="BD69" i="29"/>
  <c r="BB69" i="29"/>
  <c r="AZ69" i="29"/>
  <c r="AX69" i="29"/>
  <c r="AV69" i="29"/>
  <c r="AT69" i="29"/>
  <c r="AR69" i="29"/>
  <c r="AP69" i="29"/>
  <c r="AN69" i="29"/>
  <c r="AL69" i="29"/>
  <c r="AJ69" i="29"/>
  <c r="AH69" i="29"/>
  <c r="AF69" i="29"/>
  <c r="AD69" i="29"/>
  <c r="AB69" i="29"/>
  <c r="Z69" i="29"/>
  <c r="X69" i="29"/>
  <c r="V69" i="29"/>
  <c r="T69" i="29"/>
  <c r="P69" i="29"/>
  <c r="N69" i="29"/>
  <c r="L69" i="29"/>
  <c r="J69" i="29"/>
  <c r="H69" i="29"/>
  <c r="F69" i="29"/>
  <c r="BL68" i="29"/>
  <c r="BH68" i="29"/>
  <c r="BF68" i="29"/>
  <c r="BD68" i="29"/>
  <c r="BB68" i="29"/>
  <c r="AZ68" i="29"/>
  <c r="AX68" i="29"/>
  <c r="AV68" i="29"/>
  <c r="AT68" i="29"/>
  <c r="AR68" i="29"/>
  <c r="AP68" i="29"/>
  <c r="AJ68" i="29"/>
  <c r="AH68" i="29"/>
  <c r="AF68" i="29"/>
  <c r="AD68" i="29"/>
  <c r="AB68" i="29"/>
  <c r="Z68" i="29"/>
  <c r="X68" i="29"/>
  <c r="V68" i="29"/>
  <c r="T68" i="29"/>
  <c r="R68" i="29"/>
  <c r="P68" i="29"/>
  <c r="N68" i="29"/>
  <c r="L68" i="29"/>
  <c r="J68" i="29"/>
  <c r="H68" i="29"/>
  <c r="F68" i="29"/>
  <c r="BL67" i="29"/>
  <c r="BH67" i="29"/>
  <c r="BF67" i="29"/>
  <c r="BD67" i="29"/>
  <c r="BB67" i="29"/>
  <c r="AZ67" i="29"/>
  <c r="AV67" i="29"/>
  <c r="AT67" i="29"/>
  <c r="AR67" i="29"/>
  <c r="AP67" i="29"/>
  <c r="AJ67" i="29"/>
  <c r="AH67" i="29"/>
  <c r="AF67" i="29"/>
  <c r="AD67" i="29"/>
  <c r="AB67" i="29"/>
  <c r="Z67" i="29"/>
  <c r="X67" i="29"/>
  <c r="V67" i="29"/>
  <c r="T67" i="29"/>
  <c r="R67" i="29"/>
  <c r="P67" i="29"/>
  <c r="N67" i="29"/>
  <c r="L67" i="29"/>
  <c r="J67" i="29"/>
  <c r="H67" i="29"/>
  <c r="F67" i="29"/>
  <c r="BH66" i="29"/>
  <c r="BF66" i="29"/>
  <c r="BD66" i="29"/>
  <c r="BB66" i="29"/>
  <c r="AZ66" i="29"/>
  <c r="AX66" i="29"/>
  <c r="AV66" i="29"/>
  <c r="AT66" i="29"/>
  <c r="AR66" i="29"/>
  <c r="AP66" i="29"/>
  <c r="AN66" i="29"/>
  <c r="AJ66" i="29"/>
  <c r="AH66" i="29"/>
  <c r="AF66" i="29"/>
  <c r="AD66" i="29"/>
  <c r="AB66" i="29"/>
  <c r="Z66" i="29"/>
  <c r="X66" i="29"/>
  <c r="V66" i="29"/>
  <c r="T66" i="29"/>
  <c r="R66" i="29"/>
  <c r="P66" i="29"/>
  <c r="N66" i="29"/>
  <c r="L66" i="29"/>
  <c r="J66" i="29"/>
  <c r="H66" i="29"/>
  <c r="F66" i="29"/>
  <c r="BL64" i="29"/>
  <c r="BJ64" i="29"/>
  <c r="BH64" i="29"/>
  <c r="BF64" i="29"/>
  <c r="BD64" i="29"/>
  <c r="BB64" i="29"/>
  <c r="AZ64" i="29"/>
  <c r="AX64" i="29"/>
  <c r="AV64" i="29"/>
  <c r="AT64" i="29"/>
  <c r="AR64" i="29"/>
  <c r="AP64" i="29"/>
  <c r="AN64" i="29"/>
  <c r="AL64" i="29"/>
  <c r="AJ64" i="29"/>
  <c r="AH64" i="29"/>
  <c r="AF64" i="29"/>
  <c r="AD64" i="29"/>
  <c r="AB64" i="29"/>
  <c r="T64" i="29"/>
  <c r="R64" i="29"/>
  <c r="P64" i="29"/>
  <c r="N64" i="29"/>
  <c r="L64" i="29"/>
  <c r="J64" i="29"/>
  <c r="H64" i="29"/>
  <c r="F64" i="29"/>
  <c r="BL63" i="29"/>
  <c r="BJ63" i="29"/>
  <c r="BH63" i="29"/>
  <c r="BF63" i="29"/>
  <c r="BD63" i="29"/>
  <c r="BB63" i="29"/>
  <c r="AZ63" i="29"/>
  <c r="AX63" i="29"/>
  <c r="AV63" i="29"/>
  <c r="AT63" i="29"/>
  <c r="AR63" i="29"/>
  <c r="AP63" i="29"/>
  <c r="AN63" i="29"/>
  <c r="AL63" i="29"/>
  <c r="AJ63" i="29"/>
  <c r="AH63" i="29"/>
  <c r="AF63" i="29"/>
  <c r="AD63" i="29"/>
  <c r="AB63" i="29"/>
  <c r="T63" i="29"/>
  <c r="R63" i="29"/>
  <c r="P63" i="29"/>
  <c r="N63" i="29"/>
  <c r="L63" i="29"/>
  <c r="J63" i="29"/>
  <c r="H63" i="29"/>
  <c r="F63" i="29"/>
  <c r="BL62" i="29"/>
  <c r="BJ62" i="29"/>
  <c r="BH62" i="29"/>
  <c r="BF62" i="29"/>
  <c r="BB62" i="29"/>
  <c r="AZ62" i="29"/>
  <c r="AX62" i="29"/>
  <c r="AV62" i="29"/>
  <c r="AT62" i="29"/>
  <c r="AR62" i="29"/>
  <c r="AP62" i="29"/>
  <c r="AN62" i="29"/>
  <c r="AL62" i="29"/>
  <c r="AJ62" i="29"/>
  <c r="AH62" i="29"/>
  <c r="AF62" i="29"/>
  <c r="AD62" i="29"/>
  <c r="AB62" i="29"/>
  <c r="Z62" i="29"/>
  <c r="T62" i="29"/>
  <c r="R62" i="29"/>
  <c r="P62" i="29"/>
  <c r="N62" i="29"/>
  <c r="J62" i="29"/>
  <c r="H62" i="29"/>
  <c r="F62" i="29"/>
  <c r="BL60" i="29"/>
  <c r="BJ60" i="29"/>
  <c r="BD60" i="29"/>
  <c r="AP60" i="29"/>
  <c r="AN60" i="29"/>
  <c r="AL60" i="29"/>
  <c r="AJ60" i="29"/>
  <c r="AH60" i="29"/>
  <c r="AF60" i="29"/>
  <c r="AD60" i="29"/>
  <c r="AB60" i="29"/>
  <c r="Z60" i="29"/>
  <c r="X60" i="29"/>
  <c r="V60" i="29"/>
  <c r="BL59" i="29"/>
  <c r="BJ59" i="29"/>
  <c r="BH59" i="29"/>
  <c r="BF59" i="29"/>
  <c r="BD59" i="29"/>
  <c r="BB59" i="29"/>
  <c r="AZ59" i="29"/>
  <c r="AX59" i="29"/>
  <c r="AV59" i="29"/>
  <c r="AT59" i="29"/>
  <c r="AR59" i="29"/>
  <c r="AP59" i="29"/>
  <c r="AN59" i="29"/>
  <c r="AL59" i="29"/>
  <c r="AJ59" i="29"/>
  <c r="AH59" i="29"/>
  <c r="AF59" i="29"/>
  <c r="AD59" i="29"/>
  <c r="AB59" i="29"/>
  <c r="X59" i="29"/>
  <c r="V59" i="29"/>
  <c r="T59" i="29"/>
  <c r="R59" i="29"/>
  <c r="P59" i="29"/>
  <c r="N59" i="29"/>
  <c r="L59" i="29"/>
  <c r="J59" i="29"/>
  <c r="H59" i="29"/>
  <c r="F59" i="29"/>
  <c r="BL58" i="29"/>
  <c r="BJ58" i="29"/>
  <c r="BH58" i="29"/>
  <c r="BF58" i="29"/>
  <c r="BD58" i="29"/>
  <c r="BB58" i="29"/>
  <c r="AZ58" i="29"/>
  <c r="AX58" i="29"/>
  <c r="AV58" i="29"/>
  <c r="AT58" i="29"/>
  <c r="AR58" i="29"/>
  <c r="AP58" i="29"/>
  <c r="AN58" i="29"/>
  <c r="AL58" i="29"/>
  <c r="AJ58" i="29"/>
  <c r="AH58" i="29"/>
  <c r="AF58" i="29"/>
  <c r="AD58" i="29"/>
  <c r="Z58" i="29"/>
  <c r="X58" i="29"/>
  <c r="V58" i="29"/>
  <c r="T58" i="29"/>
  <c r="R58" i="29"/>
  <c r="P58" i="29"/>
  <c r="N58" i="29"/>
  <c r="L58" i="29"/>
  <c r="J58" i="29"/>
  <c r="H58" i="29"/>
  <c r="F58" i="29"/>
  <c r="BJ57" i="29"/>
  <c r="BF57" i="29"/>
  <c r="AR57" i="29"/>
  <c r="AP57" i="29"/>
  <c r="AN57" i="29"/>
  <c r="AL57" i="29"/>
  <c r="AJ57" i="29"/>
  <c r="AH57" i="29"/>
  <c r="AF57" i="29"/>
  <c r="AD57" i="29"/>
  <c r="AB57" i="29"/>
  <c r="Z57" i="29"/>
  <c r="T57" i="29"/>
  <c r="R57" i="29"/>
  <c r="P57" i="29"/>
  <c r="N57" i="29"/>
  <c r="H57" i="29"/>
  <c r="F57" i="29"/>
  <c r="AB52" i="29"/>
  <c r="BL50" i="29"/>
  <c r="BH50" i="29"/>
  <c r="BF50" i="29"/>
  <c r="BD50" i="29"/>
  <c r="BB50" i="29"/>
  <c r="AZ50" i="29"/>
  <c r="AX50" i="29"/>
  <c r="AV50" i="29"/>
  <c r="AT50" i="29"/>
  <c r="AR50" i="29"/>
  <c r="AP50" i="29"/>
  <c r="AN50" i="29"/>
  <c r="AH50" i="29"/>
  <c r="AF50" i="29"/>
  <c r="AD50" i="29"/>
  <c r="AB50" i="29"/>
  <c r="Z50" i="29"/>
  <c r="X50" i="29"/>
  <c r="V50" i="29"/>
  <c r="T50" i="29"/>
  <c r="R50" i="29"/>
  <c r="BF51" i="29"/>
  <c r="AR48" i="29"/>
  <c r="AR51" i="29"/>
  <c r="AP48" i="29"/>
  <c r="AP51" i="29"/>
  <c r="AN48" i="29"/>
  <c r="AN51" i="29"/>
  <c r="AJ48" i="29"/>
  <c r="AF48" i="29"/>
  <c r="AD48" i="29"/>
  <c r="AD51" i="29"/>
  <c r="AB48" i="29"/>
  <c r="T48" i="29"/>
  <c r="P48" i="29"/>
  <c r="N48" i="29"/>
  <c r="H48" i="29"/>
  <c r="F48" i="29"/>
  <c r="BB46" i="29"/>
  <c r="AH46" i="29"/>
  <c r="R45" i="29"/>
  <c r="BJ44" i="29"/>
  <c r="AL44" i="29"/>
  <c r="BJ43" i="29"/>
  <c r="AX43" i="29"/>
  <c r="AL43" i="29"/>
  <c r="BJ42" i="29"/>
  <c r="BJ50" i="29"/>
  <c r="AL42" i="29"/>
  <c r="AL50" i="29"/>
  <c r="X40" i="29"/>
  <c r="V40" i="29"/>
  <c r="Z39" i="29"/>
  <c r="X39" i="29"/>
  <c r="V39" i="29"/>
  <c r="Z35" i="29"/>
  <c r="BL33" i="29"/>
  <c r="BL48" i="29"/>
  <c r="BH33" i="29"/>
  <c r="BH57" i="29"/>
  <c r="BB33" i="29"/>
  <c r="AZ33" i="29"/>
  <c r="AX33" i="29"/>
  <c r="AV33" i="29"/>
  <c r="AV46" i="29"/>
  <c r="AT33" i="29"/>
  <c r="X33" i="29"/>
  <c r="V33" i="29"/>
  <c r="L33" i="29"/>
  <c r="L48" i="29"/>
  <c r="J33" i="29"/>
  <c r="AB30" i="29"/>
  <c r="BH28" i="29"/>
  <c r="BF28" i="29"/>
  <c r="BD28" i="29"/>
  <c r="BB28" i="29"/>
  <c r="AZ28" i="29"/>
  <c r="AX28" i="29"/>
  <c r="AV28" i="29"/>
  <c r="AT28" i="29"/>
  <c r="AR28" i="29"/>
  <c r="AP28" i="29"/>
  <c r="AN28" i="29"/>
  <c r="AH28" i="29"/>
  <c r="AF28" i="29"/>
  <c r="AD28" i="29"/>
  <c r="AB28" i="29"/>
  <c r="Z28" i="29"/>
  <c r="T28" i="29"/>
  <c r="R28" i="29"/>
  <c r="P28" i="29"/>
  <c r="N28" i="29"/>
  <c r="J28" i="29"/>
  <c r="H28" i="29"/>
  <c r="F28" i="29"/>
  <c r="BF26" i="29"/>
  <c r="BF29" i="29"/>
  <c r="AR26" i="29"/>
  <c r="AR29" i="29"/>
  <c r="AR74" i="29"/>
  <c r="AP26" i="29"/>
  <c r="AP29" i="29"/>
  <c r="AJ26" i="29"/>
  <c r="AF26" i="29"/>
  <c r="AD26" i="29"/>
  <c r="AD29" i="29"/>
  <c r="T26" i="29"/>
  <c r="R26" i="29"/>
  <c r="P26" i="29"/>
  <c r="N26" i="29"/>
  <c r="H26" i="29"/>
  <c r="F26" i="29"/>
  <c r="AH24" i="29"/>
  <c r="BJ22" i="29"/>
  <c r="AN22" i="29"/>
  <c r="AL22" i="29"/>
  <c r="BJ21" i="29"/>
  <c r="AX21" i="29"/>
  <c r="AN21" i="29"/>
  <c r="AN26" i="29"/>
  <c r="AN29" i="29"/>
  <c r="AL21" i="29"/>
  <c r="BL20" i="29"/>
  <c r="BL28" i="29"/>
  <c r="BJ20" i="29"/>
  <c r="BJ28" i="29"/>
  <c r="AL20" i="29"/>
  <c r="Z18" i="29"/>
  <c r="Z64" i="29"/>
  <c r="X18" i="29"/>
  <c r="V18" i="29"/>
  <c r="Z17" i="29"/>
  <c r="X17" i="29"/>
  <c r="V17" i="29"/>
  <c r="X16" i="29"/>
  <c r="X62" i="29"/>
  <c r="V16" i="29"/>
  <c r="V62" i="29"/>
  <c r="L16" i="29"/>
  <c r="L62" i="29"/>
  <c r="BH14" i="29"/>
  <c r="BH60" i="29"/>
  <c r="Z13" i="29"/>
  <c r="AB12" i="29"/>
  <c r="BD11" i="29"/>
  <c r="BB11" i="29"/>
  <c r="AZ11" i="29"/>
  <c r="AX11" i="29"/>
  <c r="AV11" i="29"/>
  <c r="AT11" i="29"/>
  <c r="X11" i="29"/>
  <c r="V11" i="29"/>
  <c r="L11" i="29"/>
  <c r="J11" i="29"/>
  <c r="AT57" i="29"/>
  <c r="AT71" i="29"/>
  <c r="AL66" i="29"/>
  <c r="BB57" i="29"/>
  <c r="V64" i="29"/>
  <c r="AR52" i="29"/>
  <c r="BF71" i="29"/>
  <c r="AL28" i="29"/>
  <c r="AX46" i="29"/>
  <c r="N71" i="29"/>
  <c r="AP71" i="29"/>
  <c r="V57" i="29"/>
  <c r="AX57" i="29"/>
  <c r="X63" i="29"/>
  <c r="AX67" i="29"/>
  <c r="BH26" i="29"/>
  <c r="BH29" i="29"/>
  <c r="BN30" i="29"/>
  <c r="L28" i="29"/>
  <c r="BJ67" i="29"/>
  <c r="X28" i="29"/>
  <c r="F71" i="29"/>
  <c r="P71" i="29"/>
  <c r="H71" i="29"/>
  <c r="AD71" i="29"/>
  <c r="AJ71" i="29"/>
  <c r="AR71" i="29"/>
  <c r="T71" i="29"/>
  <c r="BJ26" i="29"/>
  <c r="BJ29" i="29"/>
  <c r="V48" i="29"/>
  <c r="J57" i="29"/>
  <c r="J71" i="29"/>
  <c r="AF71" i="29"/>
  <c r="BN57" i="29"/>
  <c r="BN71" i="29"/>
  <c r="AD74" i="29"/>
  <c r="AF76" i="29"/>
  <c r="AF30" i="29"/>
  <c r="AD30" i="29"/>
  <c r="AP74" i="29"/>
  <c r="AN74" i="29"/>
  <c r="BF74" i="29"/>
  <c r="AD52" i="29"/>
  <c r="AF52" i="29"/>
  <c r="AB58" i="29"/>
  <c r="AB71" i="29"/>
  <c r="AL67" i="29"/>
  <c r="AH70" i="29"/>
  <c r="AH71" i="29"/>
  <c r="BB24" i="29"/>
  <c r="BB70" i="29"/>
  <c r="J26" i="29"/>
  <c r="Z26" i="29"/>
  <c r="AH26" i="29"/>
  <c r="AH29" i="29"/>
  <c r="BL57" i="29"/>
  <c r="AL48" i="29"/>
  <c r="AL51" i="29"/>
  <c r="AT48" i="29"/>
  <c r="AT51" i="29"/>
  <c r="AT52" i="29"/>
  <c r="BB48" i="29"/>
  <c r="BB51" i="29"/>
  <c r="X57" i="29"/>
  <c r="AB76" i="29"/>
  <c r="AZ57" i="29"/>
  <c r="Z63" i="29"/>
  <c r="X26" i="29"/>
  <c r="X29" i="29"/>
  <c r="L57" i="29"/>
  <c r="L71" i="29"/>
  <c r="AV57" i="29"/>
  <c r="BD57" i="29"/>
  <c r="BD71" i="29"/>
  <c r="AN67" i="29"/>
  <c r="AV24" i="29"/>
  <c r="L26" i="29"/>
  <c r="X48" i="29"/>
  <c r="X51" i="29"/>
  <c r="AV48" i="29"/>
  <c r="AV51" i="29"/>
  <c r="BD51" i="29"/>
  <c r="BF52" i="29"/>
  <c r="BH48" i="29"/>
  <c r="BH51" i="29"/>
  <c r="BN52" i="29"/>
  <c r="Z59" i="29"/>
  <c r="BJ68" i="29"/>
  <c r="AZ24" i="29"/>
  <c r="BL66" i="29"/>
  <c r="V63" i="29"/>
  <c r="AL68" i="29"/>
  <c r="BD24" i="29"/>
  <c r="BD26" i="29"/>
  <c r="BD29" i="29"/>
  <c r="BF30" i="29"/>
  <c r="AB26" i="29"/>
  <c r="BL26" i="29"/>
  <c r="X64" i="29"/>
  <c r="BJ66" i="29"/>
  <c r="AN68" i="29"/>
  <c r="AX24" i="29"/>
  <c r="V26" i="29"/>
  <c r="AL26" i="29"/>
  <c r="AL29" i="29"/>
  <c r="AT26" i="29"/>
  <c r="AT29" i="29"/>
  <c r="V28" i="29"/>
  <c r="AR30" i="29"/>
  <c r="R69" i="29"/>
  <c r="R71" i="29"/>
  <c r="AZ46" i="29"/>
  <c r="J48" i="29"/>
  <c r="R48" i="29"/>
  <c r="Z48" i="29"/>
  <c r="AH48" i="29"/>
  <c r="AH51" i="29"/>
  <c r="AH52" i="29"/>
  <c r="BJ48" i="29"/>
  <c r="BJ51" i="29"/>
  <c r="BJ71" i="29"/>
  <c r="BJ30" i="29"/>
  <c r="BB71" i="29"/>
  <c r="BL30" i="29"/>
  <c r="AX70" i="29"/>
  <c r="AX71" i="29"/>
  <c r="AX48" i="29"/>
  <c r="AX51" i="29"/>
  <c r="AX52" i="29"/>
  <c r="V71" i="29"/>
  <c r="AL71" i="29"/>
  <c r="BH30" i="29"/>
  <c r="AN71" i="29"/>
  <c r="Z71" i="29"/>
  <c r="BD52" i="29"/>
  <c r="BL71" i="29"/>
  <c r="BJ52" i="29"/>
  <c r="AZ26" i="29"/>
  <c r="AZ29" i="29"/>
  <c r="BB26" i="29"/>
  <c r="BB29" i="29"/>
  <c r="BD30" i="29"/>
  <c r="AZ48" i="29"/>
  <c r="AZ51" i="29"/>
  <c r="BH52" i="29"/>
  <c r="BL52" i="29"/>
  <c r="AV70" i="29"/>
  <c r="AV71" i="29"/>
  <c r="AV26" i="29"/>
  <c r="AV29" i="29"/>
  <c r="AL52" i="29"/>
  <c r="AH74" i="29"/>
  <c r="AP76" i="29"/>
  <c r="AH30" i="29"/>
  <c r="AN30" i="29"/>
  <c r="BH74" i="29"/>
  <c r="BN76" i="29"/>
  <c r="BD74" i="29"/>
  <c r="AR76" i="29"/>
  <c r="BH71" i="29"/>
  <c r="X71" i="29"/>
  <c r="AX26" i="29"/>
  <c r="AX29" i="29"/>
  <c r="AN52" i="29"/>
  <c r="AT30" i="29"/>
  <c r="AT74" i="29"/>
  <c r="AL74" i="29"/>
  <c r="AL30" i="29"/>
  <c r="AZ70" i="29"/>
  <c r="AZ71" i="29"/>
  <c r="AV52" i="29"/>
  <c r="X74" i="29"/>
  <c r="AP52" i="29"/>
  <c r="BJ74" i="29"/>
  <c r="AP30" i="29"/>
  <c r="AD76" i="29"/>
  <c r="AZ52" i="29"/>
  <c r="BB52" i="29"/>
  <c r="AZ74" i="29"/>
  <c r="AN76" i="29"/>
  <c r="AH76" i="29"/>
  <c r="AL76" i="29"/>
  <c r="AV74" i="29"/>
  <c r="AV30" i="29"/>
  <c r="BJ76" i="29"/>
  <c r="AT76" i="29"/>
  <c r="AX74" i="29"/>
  <c r="AX30" i="29"/>
  <c r="BD76" i="29"/>
  <c r="AZ30" i="29"/>
  <c r="BH76" i="29"/>
  <c r="BL76" i="29"/>
  <c r="BB74" i="29"/>
  <c r="BB30" i="29"/>
  <c r="AZ76" i="29"/>
  <c r="BB76" i="29"/>
  <c r="AX76" i="29"/>
  <c r="AV76" i="29"/>
  <c r="BP74" i="29" l="1"/>
  <c r="BP76" i="29" s="1"/>
  <c r="BP52" i="29"/>
  <c r="BP71" i="29"/>
</calcChain>
</file>

<file path=xl/comments1.xml><?xml version="1.0" encoding="utf-8"?>
<comments xmlns="http://schemas.openxmlformats.org/spreadsheetml/2006/main">
  <authors>
    <author>Jennifer Fujimoto</author>
    <author>Doug Jenson</author>
  </authors>
  <commentList>
    <comment ref="AT1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45.60 Summer pullback</t>
        </r>
      </text>
    </comment>
    <comment ref="AV1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45.60 Summer pullback</t>
        </r>
      </text>
    </comment>
    <comment ref="AX1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45.60 Summer pullback</t>
        </r>
      </text>
    </comment>
    <comment ref="AZ1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45.60 Summer pullback</t>
        </r>
      </text>
    </comment>
    <comment ref="BB1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45.60 Summer pullback</t>
        </r>
      </text>
    </comment>
    <comment ref="BD1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45.60 Summer pullback</t>
        </r>
      </text>
    </comment>
    <comment ref="BF1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45.60 Summer pullback</t>
        </r>
      </text>
    </comment>
    <comment ref="BH1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Summer pullback</t>
        </r>
      </text>
    </comment>
    <comment ref="BJ1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Summer pullback</t>
        </r>
      </text>
    </comment>
    <comment ref="AX21" authorId="1" shapeId="0">
      <text>
        <r>
          <rPr>
            <b/>
            <sz val="9"/>
            <color indexed="81"/>
            <rFont val="Tahoma"/>
            <family val="2"/>
          </rPr>
          <t>Includes Cuyamaca's estimate of 20.00</t>
        </r>
      </text>
    </comment>
    <comment ref="AZ21" authorId="1" shapeId="0">
      <text>
        <r>
          <rPr>
            <b/>
            <sz val="9"/>
            <color indexed="81"/>
            <rFont val="Tahoma"/>
            <family val="2"/>
          </rPr>
          <t>Includes Cuyamaca's estimate of 20.00</t>
        </r>
      </text>
    </comment>
    <comment ref="BB21" authorId="1" shapeId="0">
      <text>
        <r>
          <rPr>
            <b/>
            <sz val="9"/>
            <color indexed="81"/>
            <rFont val="Tahoma"/>
            <family val="2"/>
          </rPr>
          <t>Includes Cuyamaca's estimate of 20.00</t>
        </r>
      </text>
    </comment>
    <comment ref="BD21" authorId="1" shapeId="0">
      <text>
        <r>
          <rPr>
            <b/>
            <sz val="9"/>
            <color indexed="81"/>
            <rFont val="Tahoma"/>
            <family val="2"/>
          </rPr>
          <t>Includes Cuyamaca's estimate of 20.00</t>
        </r>
      </text>
    </comment>
    <comment ref="BF21" authorId="1" shapeId="0">
      <text>
        <r>
          <rPr>
            <b/>
            <sz val="9"/>
            <color indexed="81"/>
            <rFont val="Tahoma"/>
            <family val="2"/>
          </rPr>
          <t>Includes Cuyamaca's estimate of 20.00</t>
        </r>
      </text>
    </comment>
    <comment ref="AT24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Estimated amount to meet cap for P1</t>
        </r>
      </text>
    </comment>
    <comment ref="AV24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Estimated amount to meet cap for P1</t>
        </r>
      </text>
    </comment>
    <comment ref="AX24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Estimated amount to meet cap for P1</t>
        </r>
      </text>
    </comment>
    <comment ref="AZ24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Estimated amount to meet cap for P1</t>
        </r>
      </text>
    </comment>
    <comment ref="BB24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Estimated amount to meet cap for P1</t>
        </r>
      </text>
    </comment>
    <comment ref="BD24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Estimated amount to meet cap for P1</t>
        </r>
      </text>
    </comment>
    <comment ref="BF24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Estimated amount to meet cap for P1</t>
        </r>
      </text>
    </comment>
    <comment ref="BH24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Estimated amount to meet cap for P1</t>
        </r>
      </text>
    </comment>
    <comment ref="BJ24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Estimated amount to meet cap for P1</t>
        </r>
      </text>
    </comment>
    <comment ref="AZ29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
4/28/16 Revised after changing OE/OE from 3.88 to 20.00
</t>
        </r>
      </text>
    </comment>
    <comment ref="BB29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
4/28/16 Revised after changing OE/OE from 3.88 to 20.00
</t>
        </r>
      </text>
    </comment>
    <comment ref="BD29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
4/28/16 Revised after changing OE/OE from 3.88 to 20.00
</t>
        </r>
      </text>
    </comment>
    <comment ref="BH29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
4/28/16 Revised after changing OE/OE from 3.88 to 20.00
</t>
        </r>
      </text>
    </comment>
    <comment ref="BJ29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
4/28/16 Revised after changing OE/OE from 3.88 to 20.00
</t>
        </r>
      </text>
    </comment>
    <comment ref="BL29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
4/28/16 Revised after changing OE/OE from 3.88 to 20.00
</t>
        </r>
      </text>
    </comment>
    <comment ref="BN29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
4/28/16 Revised after changing OE/OE from 3.88 to 20.00
</t>
        </r>
      </text>
    </comment>
    <comment ref="BP29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
4/28/16 Revised after changing OE/OE from 3.88 to 20.00
</t>
        </r>
      </text>
    </comment>
    <comment ref="AT33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107.45 Summer pullback</t>
        </r>
      </text>
    </comment>
    <comment ref="AV33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107.45 Summer pullback</t>
        </r>
      </text>
    </comment>
    <comment ref="AX33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107.45 Summer pullback</t>
        </r>
      </text>
    </comment>
    <comment ref="AZ33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107.45 Summer pullback</t>
        </r>
      </text>
    </comment>
    <comment ref="BB33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107.45 Summer pullback</t>
        </r>
      </text>
    </comment>
    <comment ref="BD33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107.45 Summer pullback</t>
        </r>
      </text>
    </comment>
    <comment ref="BF33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107.45 Summer pullback</t>
        </r>
      </text>
    </comment>
    <comment ref="BH33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107.45 Summer pullback</t>
        </r>
      </text>
    </comment>
    <comment ref="BJ33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Add 107.45 Summer pullback</t>
        </r>
      </text>
    </comment>
    <comment ref="AX43" authorId="1" shapeId="0">
      <text>
        <r>
          <rPr>
            <b/>
            <sz val="9"/>
            <color indexed="81"/>
            <rFont val="Tahoma"/>
            <family val="2"/>
          </rPr>
          <t>Includes Grossmont's estimate of 164.00</t>
        </r>
      </text>
    </comment>
    <comment ref="AZ43" authorId="1" shapeId="0">
      <text>
        <r>
          <rPr>
            <b/>
            <sz val="9"/>
            <color indexed="81"/>
            <rFont val="Tahoma"/>
            <family val="2"/>
          </rPr>
          <t>Includes Grossmont's estimate of 164.00
Changed from 22.20</t>
        </r>
      </text>
    </comment>
    <comment ref="BB43" authorId="1" shapeId="0">
      <text>
        <r>
          <rPr>
            <b/>
            <sz val="9"/>
            <color indexed="81"/>
            <rFont val="Tahoma"/>
            <family val="2"/>
          </rPr>
          <t>Includes Grossmont's estimate of 164.00
Changed from 22.20</t>
        </r>
      </text>
    </comment>
    <comment ref="BD43" authorId="1" shapeId="0">
      <text>
        <r>
          <rPr>
            <b/>
            <sz val="9"/>
            <color indexed="81"/>
            <rFont val="Tahoma"/>
            <family val="2"/>
          </rPr>
          <t>Includes Grossmont's estimate of 164.00
Changed from 22.20</t>
        </r>
      </text>
    </comment>
    <comment ref="BF43" authorId="1" shapeId="0">
      <text>
        <r>
          <rPr>
            <b/>
            <sz val="9"/>
            <color indexed="81"/>
            <rFont val="Tahoma"/>
            <family val="2"/>
          </rPr>
          <t>Includes Grossmont's estimate of 164.00</t>
        </r>
      </text>
    </comment>
    <comment ref="BH43" authorId="1" shapeId="0">
      <text>
        <r>
          <rPr>
            <b/>
            <sz val="9"/>
            <color indexed="81"/>
            <rFont val="Tahoma"/>
            <family val="2"/>
          </rPr>
          <t>Includes Grossmont's estimate of 164.00
Changed from 22.20</t>
        </r>
      </text>
    </comment>
    <comment ref="BJ43" authorId="1" shapeId="0">
      <text>
        <r>
          <rPr>
            <b/>
            <sz val="9"/>
            <color indexed="81"/>
            <rFont val="Tahoma"/>
            <family val="2"/>
          </rPr>
          <t>Includes Grossmont's estimate of 164.00
Changed from 22.20</t>
        </r>
      </text>
    </comment>
    <comment ref="AZ44" authorId="1" shapeId="0">
      <text>
        <r>
          <rPr>
            <b/>
            <sz val="9"/>
            <color indexed="81"/>
            <rFont val="Tahoma"/>
            <family val="2"/>
          </rPr>
          <t>Doug Jenson:</t>
        </r>
        <r>
          <rPr>
            <sz val="9"/>
            <color indexed="81"/>
            <rFont val="Tahoma"/>
            <family val="2"/>
          </rPr>
          <t xml:space="preserve">
Changed from 0.00 to 11.16</t>
        </r>
      </text>
    </comment>
    <comment ref="BB44" authorId="1" shapeId="0">
      <text>
        <r>
          <rPr>
            <b/>
            <sz val="9"/>
            <color indexed="81"/>
            <rFont val="Tahoma"/>
            <family val="2"/>
          </rPr>
          <t>Doug Jenson:</t>
        </r>
        <r>
          <rPr>
            <sz val="9"/>
            <color indexed="81"/>
            <rFont val="Tahoma"/>
            <family val="2"/>
          </rPr>
          <t xml:space="preserve">
Changed from 0.00 to 11.16</t>
        </r>
      </text>
    </comment>
    <comment ref="BD44" authorId="1" shapeId="0">
      <text>
        <r>
          <rPr>
            <b/>
            <sz val="9"/>
            <color indexed="81"/>
            <rFont val="Tahoma"/>
            <family val="2"/>
          </rPr>
          <t>Doug Jenson:</t>
        </r>
        <r>
          <rPr>
            <sz val="9"/>
            <color indexed="81"/>
            <rFont val="Tahoma"/>
            <family val="2"/>
          </rPr>
          <t xml:space="preserve">
Changed from 0.00 to 11.16</t>
        </r>
      </text>
    </comment>
    <comment ref="BH44" authorId="1" shapeId="0">
      <text>
        <r>
          <rPr>
            <b/>
            <sz val="9"/>
            <color indexed="81"/>
            <rFont val="Tahoma"/>
            <family val="2"/>
          </rPr>
          <t>Doug Jenson:</t>
        </r>
        <r>
          <rPr>
            <sz val="9"/>
            <color indexed="81"/>
            <rFont val="Tahoma"/>
            <family val="2"/>
          </rPr>
          <t xml:space="preserve">
Changed from 0.00 to 11.16</t>
        </r>
      </text>
    </comment>
    <comment ref="BD45" authorId="1" shapeId="0">
      <text>
        <r>
          <rPr>
            <b/>
            <sz val="9"/>
            <color indexed="81"/>
            <rFont val="Tahoma"/>
            <family val="2"/>
          </rPr>
          <t>Positive Attendance</t>
        </r>
      </text>
    </comment>
    <comment ref="BH45" authorId="1" shapeId="0">
      <text>
        <r>
          <rPr>
            <b/>
            <sz val="9"/>
            <color indexed="81"/>
            <rFont val="Tahoma"/>
            <family val="2"/>
          </rPr>
          <t>Positive Attendance</t>
        </r>
      </text>
    </comment>
    <comment ref="BJ45" authorId="1" shapeId="0">
      <text>
        <r>
          <rPr>
            <b/>
            <sz val="9"/>
            <color indexed="81"/>
            <rFont val="Tahoma"/>
            <family val="2"/>
          </rPr>
          <t>Positive Attendance</t>
        </r>
      </text>
    </comment>
    <comment ref="AT46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Amount estimated to meet cap for P1</t>
        </r>
      </text>
    </comment>
    <comment ref="AV46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Amount estimated to meet cap for P1</t>
        </r>
      </text>
    </comment>
    <comment ref="AX46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Amount estimated to meet cap for P1</t>
        </r>
      </text>
    </comment>
    <comment ref="AZ46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Amount estimated to meet cap for P2
Revised after changing OE/OE from 22.20 to 164.00 and NonCredit from 0.00 to 11.16.  
These changes revised the factoring from 57.64 to 66.23 to 66.22 to get to 12,996.00
</t>
        </r>
      </text>
    </comment>
    <comment ref="BB46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Amount estimated to meet cap for P2
Revised after changing OE/OE from 22.20 to 164.00 and NonCredit from 0.00 to 11.16.  
These changes revised the factoring from 57.64 to 66.23 to 66.22 to get to 12,996.00
</t>
        </r>
      </text>
    </comment>
    <comment ref="BD46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Amount estimated to meet cap for P2
Revised after changing OE/OE from 22.20 to 164.00 and NonCredit from 0.00 to 11.16.  
These changes revised the factoring from 57.64 to 66.23 to 66.22 to get to 12,996.00
</t>
        </r>
      </text>
    </comment>
    <comment ref="BF46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Amount estimated to meet cap for P1</t>
        </r>
      </text>
    </comment>
    <comment ref="BH46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Amount estimated to meet cap for P2
Revised after changing OE/OE from 22.20 to 164.00 and NonCredit from 0.00 to 11.16.  
These changes revised the factoring from 57.64 to 66.23 to 66.22 to get to 12,996.00
</t>
        </r>
      </text>
    </comment>
    <comment ref="BJ46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Amount estimated to meet cap for P2
Revised after changing OE/OE from 22.20 to 164.00 and NonCredit from 0.00 to 11.16.  
These changes revised the factoring from 57.64 to 66.23 to 66.22 to get to 12,996.00
</t>
        </r>
      </text>
    </comment>
    <comment ref="AZ5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</t>
        </r>
      </text>
    </comment>
    <comment ref="BB5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</t>
        </r>
      </text>
    </comment>
    <comment ref="BD5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</t>
        </r>
      </text>
    </comment>
    <comment ref="BJ5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</t>
        </r>
      </text>
    </comment>
    <comment ref="BL5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</t>
        </r>
      </text>
    </comment>
    <comment ref="BN5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</t>
        </r>
      </text>
    </comment>
    <comment ref="BP51" authorId="0" shapeId="0">
      <text>
        <r>
          <rPr>
            <b/>
            <sz val="9"/>
            <color indexed="81"/>
            <rFont val="Tahoma"/>
            <family val="2"/>
          </rPr>
          <t>Jennifer Fujimoto:</t>
        </r>
        <r>
          <rPr>
            <sz val="9"/>
            <color indexed="81"/>
            <rFont val="Tahoma"/>
            <family val="2"/>
          </rPr>
          <t xml:space="preserve">
Manually add factoring</t>
        </r>
      </text>
    </comment>
  </commentList>
</comments>
</file>

<file path=xl/sharedStrings.xml><?xml version="1.0" encoding="utf-8"?>
<sst xmlns="http://schemas.openxmlformats.org/spreadsheetml/2006/main" count="179" uniqueCount="73">
  <si>
    <t>Grossmont-Cuyamaca Community College District</t>
  </si>
  <si>
    <t>FTES Forecast</t>
  </si>
  <si>
    <t>Actuals</t>
  </si>
  <si>
    <t>07/08</t>
  </si>
  <si>
    <t>Revised</t>
  </si>
  <si>
    <t>Plus Pullback</t>
  </si>
  <si>
    <t>Annual</t>
  </si>
  <si>
    <t>Actual FTES</t>
  </si>
  <si>
    <t>Fall 2013</t>
  </si>
  <si>
    <t>First</t>
  </si>
  <si>
    <t xml:space="preserve">Spring </t>
  </si>
  <si>
    <t>Enrollment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</si>
  <si>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</si>
  <si>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</si>
  <si>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</si>
  <si>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</si>
  <si>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</si>
  <si>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</si>
  <si>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</si>
  <si>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</si>
  <si>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320 Report</t>
  </si>
  <si>
    <t>Excludes impact</t>
  </si>
  <si>
    <t>Report</t>
  </si>
  <si>
    <t>Period</t>
  </si>
  <si>
    <t>Census</t>
  </si>
  <si>
    <t>Recalc Period</t>
  </si>
  <si>
    <t>Target</t>
  </si>
  <si>
    <t>Resident FTES</t>
  </si>
  <si>
    <t>Less Pullback</t>
  </si>
  <si>
    <t>of Pullback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</si>
  <si>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</si>
  <si>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</si>
  <si>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</si>
  <si>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</si>
  <si>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</si>
  <si>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</si>
  <si>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</si>
  <si>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</si>
  <si>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Cuyamaca</t>
  </si>
  <si>
    <t>July Summer</t>
  </si>
  <si>
    <t>Credit Census</t>
  </si>
  <si>
    <t>*</t>
  </si>
  <si>
    <t>Credit Other (incl. OE/OE)</t>
  </si>
  <si>
    <t>Noncredit</t>
  </si>
  <si>
    <t>Summer Pullback</t>
  </si>
  <si>
    <t>Fall:</t>
  </si>
  <si>
    <t>Spring:</t>
  </si>
  <si>
    <t>June Summer</t>
  </si>
  <si>
    <t>Total</t>
  </si>
  <si>
    <t>Spring % of Fall</t>
  </si>
  <si>
    <t>Factored FTES</t>
  </si>
  <si>
    <t>% Inc (Dec) from PY Actual FTES</t>
  </si>
  <si>
    <t>Grossmont</t>
  </si>
  <si>
    <t>Composite</t>
  </si>
  <si>
    <t xml:space="preserve">Funded FTES </t>
  </si>
  <si>
    <t>Spring</t>
  </si>
  <si>
    <t>Spring Census</t>
  </si>
  <si>
    <t>+ 3rd Period</t>
  </si>
  <si>
    <t>Second</t>
  </si>
  <si>
    <t>Summer Pullback for CC</t>
  </si>
  <si>
    <t>Annual Period</t>
  </si>
  <si>
    <t>as of 7/12/16</t>
  </si>
  <si>
    <t>16/17</t>
  </si>
  <si>
    <t>17/18</t>
  </si>
  <si>
    <t>Pullback to meet CAP</t>
  </si>
  <si>
    <t>18/19</t>
  </si>
  <si>
    <t>Second Period</t>
  </si>
  <si>
    <t>2019/2020</t>
  </si>
  <si>
    <t>2019</t>
  </si>
  <si>
    <t>19/20</t>
  </si>
  <si>
    <t>Actual</t>
  </si>
  <si>
    <t>Spring Estimate</t>
  </si>
  <si>
    <t>P1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</si>
</sst>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3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b/>
      <i/>
      <sz val="11"/>
      <name val="Arial"/>
      <family val="2"/>
    </font>
    <font>
      <i/>
      <u/>
      <sz val="9"/>
      <name val="Arial"/>
      <family val="2"/>
    </font>
    <font>
      <b/>
      <i/>
      <u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B0F0"/>
      <name val="Arial"/>
      <family val="2"/>
    </font>
    <font>
      <b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Continuous"/>
    </xf>
    <xf numFmtId="0" fontId="4" fillId="0" borderId="0" xfId="0" applyFont="1"/>
    <xf numFmtId="0" fontId="5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2"/>
    </xf>
    <xf numFmtId="0" fontId="8" fillId="0" borderId="0" xfId="0" applyFont="1"/>
    <xf numFmtId="0" fontId="0" fillId="0" borderId="0" xfId="0" applyFill="1"/>
    <xf numFmtId="0" fontId="9" fillId="0" borderId="0" xfId="0" applyFont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 horizontal="left" indent="4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8" fillId="0" borderId="0" xfId="0" quotePrefix="1" applyFont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0" xfId="0" applyFont="1"/>
    <xf numFmtId="49" fontId="14" fillId="0" borderId="0" xfId="0" quotePrefix="1" applyNumberFormat="1" applyFont="1" applyBorder="1" applyAlignment="1">
      <alignment horizontal="right"/>
    </xf>
    <xf numFmtId="49" fontId="16" fillId="0" borderId="4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right"/>
    </xf>
    <xf numFmtId="49" fontId="16" fillId="0" borderId="5" xfId="0" applyNumberFormat="1" applyFont="1" applyBorder="1" applyAlignment="1">
      <alignment horizontal="right"/>
    </xf>
    <xf numFmtId="49" fontId="16" fillId="0" borderId="7" xfId="0" applyNumberFormat="1" applyFont="1" applyBorder="1" applyAlignment="1">
      <alignment horizontal="right"/>
    </xf>
    <xf numFmtId="49" fontId="14" fillId="0" borderId="7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7" fillId="0" borderId="9" xfId="0" quotePrefix="1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11" fillId="0" borderId="0" xfId="0" quotePrefix="1" applyNumberFormat="1" applyFont="1" applyBorder="1" applyAlignment="1">
      <alignment horizontal="right"/>
    </xf>
    <xf numFmtId="49" fontId="11" fillId="0" borderId="11" xfId="0" quotePrefix="1" applyNumberFormat="1" applyFont="1" applyBorder="1" applyAlignment="1">
      <alignment horizontal="right"/>
    </xf>
    <xf numFmtId="49" fontId="11" fillId="0" borderId="11" xfId="0" quotePrefix="1" applyNumberFormat="1" applyFont="1" applyFill="1" applyBorder="1" applyAlignment="1">
      <alignment horizontal="right"/>
    </xf>
    <xf numFmtId="49" fontId="11" fillId="0" borderId="0" xfId="0" quotePrefix="1" applyNumberFormat="1" applyFont="1" applyFill="1" applyBorder="1" applyAlignment="1">
      <alignment horizontal="right"/>
    </xf>
    <xf numFmtId="0" fontId="6" fillId="0" borderId="0" xfId="0" applyFont="1" applyAlignment="1">
      <alignment horizontal="left" indent="4"/>
    </xf>
    <xf numFmtId="0" fontId="0" fillId="0" borderId="0" xfId="0" applyAlignment="1">
      <alignment horizontal="left" indent="4"/>
    </xf>
    <xf numFmtId="0" fontId="3" fillId="0" borderId="0" xfId="0" applyFont="1" applyAlignment="1">
      <alignment horizontal="left" indent="4"/>
    </xf>
    <xf numFmtId="0" fontId="11" fillId="0" borderId="0" xfId="0" applyFont="1" applyBorder="1" applyAlignment="1">
      <alignment horizontal="left" indent="6"/>
    </xf>
    <xf numFmtId="0" fontId="11" fillId="0" borderId="0" xfId="0" applyFont="1" applyBorder="1" applyAlignment="1">
      <alignment horizontal="left" indent="3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indent="4"/>
    </xf>
    <xf numFmtId="0" fontId="11" fillId="0" borderId="0" xfId="0" applyFont="1" applyFill="1" applyBorder="1" applyAlignment="1">
      <alignment horizontal="left" indent="4"/>
    </xf>
    <xf numFmtId="0" fontId="1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/>
    <xf numFmtId="0" fontId="0" fillId="0" borderId="0" xfId="0" applyFont="1" applyFill="1"/>
    <xf numFmtId="39" fontId="0" fillId="0" borderId="0" xfId="0" applyNumberFormat="1"/>
    <xf numFmtId="39" fontId="1" fillId="0" borderId="0" xfId="0" applyNumberFormat="1" applyFont="1"/>
    <xf numFmtId="39" fontId="12" fillId="0" borderId="0" xfId="0" applyNumberFormat="1" applyFont="1"/>
    <xf numFmtId="39" fontId="13" fillId="0" borderId="0" xfId="0" applyNumberFormat="1" applyFont="1"/>
    <xf numFmtId="39" fontId="13" fillId="0" borderId="0" xfId="0" applyNumberFormat="1" applyFont="1" applyFill="1"/>
    <xf numFmtId="164" fontId="7" fillId="0" borderId="0" xfId="2" applyNumberFormat="1" applyFont="1"/>
    <xf numFmtId="39" fontId="12" fillId="0" borderId="0" xfId="0" applyNumberFormat="1" applyFont="1" applyFill="1"/>
    <xf numFmtId="164" fontId="19" fillId="0" borderId="0" xfId="2" applyNumberFormat="1" applyFont="1"/>
    <xf numFmtId="39" fontId="19" fillId="0" borderId="0" xfId="0" applyNumberFormat="1" applyFont="1"/>
    <xf numFmtId="49" fontId="20" fillId="0" borderId="0" xfId="0" applyNumberFormat="1" applyFont="1"/>
    <xf numFmtId="43" fontId="13" fillId="0" borderId="0" xfId="1" applyFont="1" applyFill="1"/>
    <xf numFmtId="49" fontId="0" fillId="0" borderId="0" xfId="0" applyNumberFormat="1"/>
    <xf numFmtId="39" fontId="21" fillId="0" borderId="0" xfId="0" applyNumberFormat="1" applyFont="1" applyFill="1"/>
    <xf numFmtId="39" fontId="22" fillId="0" borderId="0" xfId="0" applyNumberFormat="1" applyFont="1" applyFill="1"/>
    <xf numFmtId="39" fontId="8" fillId="0" borderId="0" xfId="0" applyNumberFormat="1" applyFont="1"/>
    <xf numFmtId="39" fontId="7" fillId="0" borderId="0" xfId="0" applyNumberFormat="1" applyFont="1"/>
    <xf numFmtId="39" fontId="7" fillId="0" borderId="0" xfId="0" applyNumberFormat="1" applyFont="1" applyFill="1"/>
    <xf numFmtId="39" fontId="15" fillId="0" borderId="0" xfId="0" applyNumberFormat="1" applyFont="1" applyFill="1"/>
    <xf numFmtId="10" fontId="1" fillId="0" borderId="0" xfId="0" applyNumberFormat="1" applyFont="1"/>
    <xf numFmtId="39" fontId="1" fillId="0" borderId="0" xfId="0" applyNumberFormat="1" applyFont="1" applyAlignment="1">
      <alignment horizontal="right"/>
    </xf>
    <xf numFmtId="0" fontId="0" fillId="0" borderId="0" xfId="0" quotePrefix="1"/>
    <xf numFmtId="10" fontId="7" fillId="0" borderId="0" xfId="0" applyNumberFormat="1" applyFont="1"/>
    <xf numFmtId="39" fontId="12" fillId="0" borderId="0" xfId="0" applyNumberFormat="1" applyFont="1" applyAlignment="1">
      <alignment horizontal="right"/>
    </xf>
    <xf numFmtId="39" fontId="13" fillId="0" borderId="0" xfId="0" applyNumberFormat="1" applyFont="1" applyAlignment="1">
      <alignment horizontal="right"/>
    </xf>
    <xf numFmtId="39" fontId="13" fillId="0" borderId="0" xfId="0" applyNumberFormat="1" applyFont="1" applyFill="1" applyAlignment="1">
      <alignment horizontal="right"/>
    </xf>
    <xf numFmtId="9" fontId="7" fillId="0" borderId="0" xfId="2" applyFont="1"/>
    <xf numFmtId="39" fontId="12" fillId="0" borderId="0" xfId="0" applyNumberFormat="1" applyFont="1" applyFill="1" applyAlignment="1">
      <alignment horizontal="right"/>
    </xf>
    <xf numFmtId="39" fontId="0" fillId="0" borderId="9" xfId="0" applyNumberFormat="1" applyBorder="1"/>
    <xf numFmtId="39" fontId="0" fillId="0" borderId="0" xfId="0" applyNumberFormat="1" applyBorder="1"/>
    <xf numFmtId="39" fontId="1" fillId="0" borderId="9" xfId="0" applyNumberFormat="1" applyFont="1" applyBorder="1"/>
    <xf numFmtId="39" fontId="7" fillId="0" borderId="0" xfId="0" applyNumberFormat="1" applyFont="1" applyBorder="1"/>
    <xf numFmtId="39" fontId="12" fillId="0" borderId="0" xfId="0" applyNumberFormat="1" applyFont="1" applyBorder="1"/>
    <xf numFmtId="39" fontId="12" fillId="0" borderId="9" xfId="0" applyNumberFormat="1" applyFont="1" applyBorder="1"/>
    <xf numFmtId="39" fontId="13" fillId="0" borderId="0" xfId="0" applyNumberFormat="1" applyFont="1" applyBorder="1"/>
    <xf numFmtId="0" fontId="7" fillId="0" borderId="0" xfId="0" applyFont="1" applyFill="1"/>
    <xf numFmtId="39" fontId="19" fillId="0" borderId="0" xfId="0" applyNumberFormat="1" applyFont="1" applyFill="1"/>
    <xf numFmtId="39" fontId="1" fillId="0" borderId="0" xfId="0" applyNumberFormat="1" applyFont="1" applyBorder="1"/>
    <xf numFmtId="39" fontId="13" fillId="0" borderId="0" xfId="0" applyNumberFormat="1" applyFont="1" applyFill="1" applyBorder="1"/>
    <xf numFmtId="39" fontId="12" fillId="0" borderId="0" xfId="0" applyNumberFormat="1" applyFont="1" applyFill="1" applyBorder="1"/>
    <xf numFmtId="39" fontId="12" fillId="0" borderId="12" xfId="0" applyNumberFormat="1" applyFont="1" applyBorder="1"/>
    <xf numFmtId="4" fontId="12" fillId="0" borderId="0" xfId="0" applyNumberFormat="1" applyFont="1" applyBorder="1"/>
    <xf numFmtId="4" fontId="17" fillId="0" borderId="0" xfId="0" applyNumberFormat="1" applyFont="1" applyBorder="1"/>
    <xf numFmtId="37" fontId="17" fillId="0" borderId="0" xfId="0" applyNumberFormat="1" applyFont="1" applyBorder="1"/>
    <xf numFmtId="39" fontId="13" fillId="0" borderId="13" xfId="0" applyNumberFormat="1" applyFont="1" applyFill="1" applyBorder="1"/>
    <xf numFmtId="37" fontId="12" fillId="0" borderId="0" xfId="0" applyNumberFormat="1" applyFont="1" applyBorder="1"/>
    <xf numFmtId="164" fontId="17" fillId="0" borderId="0" xfId="2" applyNumberFormat="1" applyFont="1" applyBorder="1" applyAlignment="1">
      <alignment horizontal="right"/>
    </xf>
    <xf numFmtId="0" fontId="19" fillId="0" borderId="0" xfId="0" applyFont="1" applyAlignment="1">
      <alignment horizontal="left" indent="1"/>
    </xf>
    <xf numFmtId="0" fontId="19" fillId="0" borderId="0" xfId="0" applyFont="1"/>
    <xf numFmtId="10" fontId="19" fillId="0" borderId="0" xfId="0" applyNumberFormat="1" applyFont="1"/>
    <xf numFmtId="10" fontId="7" fillId="0" borderId="0" xfId="0" applyNumberFormat="1" applyFont="1" applyFill="1"/>
    <xf numFmtId="10" fontId="15" fillId="0" borderId="0" xfId="0" applyNumberFormat="1" applyFont="1" applyFill="1"/>
    <xf numFmtId="0" fontId="20" fillId="0" borderId="0" xfId="0" applyFont="1" applyAlignment="1">
      <alignment horizontal="right" vertical="top"/>
    </xf>
    <xf numFmtId="4" fontId="7" fillId="0" borderId="0" xfId="0" applyNumberFormat="1" applyFont="1"/>
    <xf numFmtId="4" fontId="7" fillId="0" borderId="0" xfId="0" applyNumberFormat="1" applyFont="1" applyFill="1"/>
    <xf numFmtId="4" fontId="15" fillId="0" borderId="0" xfId="0" applyNumberFormat="1" applyFont="1" applyFill="1"/>
    <xf numFmtId="4" fontId="17" fillId="0" borderId="0" xfId="0" applyNumberFormat="1" applyFont="1" applyFill="1"/>
    <xf numFmtId="164" fontId="17" fillId="0" borderId="0" xfId="2" applyNumberFormat="1" applyFont="1" applyBorder="1"/>
    <xf numFmtId="164" fontId="5" fillId="0" borderId="0" xfId="0" applyNumberFormat="1" applyFont="1"/>
    <xf numFmtId="164" fontId="5" fillId="0" borderId="0" xfId="0" applyNumberFormat="1" applyFont="1" applyFill="1"/>
    <xf numFmtId="164" fontId="3" fillId="0" borderId="0" xfId="0" applyNumberFormat="1" applyFont="1" applyFill="1"/>
    <xf numFmtId="10" fontId="0" fillId="0" borderId="0" xfId="0" applyNumberFormat="1"/>
    <xf numFmtId="0" fontId="15" fillId="0" borderId="0" xfId="0" applyFont="1" applyFill="1"/>
    <xf numFmtId="164" fontId="7" fillId="0" borderId="0" xfId="0" applyNumberFormat="1" applyFont="1"/>
    <xf numFmtId="49" fontId="7" fillId="0" borderId="0" xfId="0" applyNumberFormat="1" applyFont="1"/>
    <xf numFmtId="4" fontId="0" fillId="0" borderId="0" xfId="0" applyNumberFormat="1"/>
    <xf numFmtId="39" fontId="11" fillId="0" borderId="0" xfId="0" applyNumberFormat="1" applyFont="1" applyBorder="1"/>
    <xf numFmtId="10" fontId="7" fillId="0" borderId="0" xfId="0" applyNumberFormat="1" applyFont="1" applyAlignment="1">
      <alignment horizontal="right"/>
    </xf>
    <xf numFmtId="39" fontId="1" fillId="0" borderId="0" xfId="0" applyNumberFormat="1" applyFont="1" applyAlignment="1">
      <alignment horizontal="left"/>
    </xf>
    <xf numFmtId="39" fontId="1" fillId="0" borderId="0" xfId="0" applyNumberFormat="1" applyFont="1" applyFill="1" applyAlignment="1">
      <alignment horizontal="right"/>
    </xf>
    <xf numFmtId="39" fontId="1" fillId="0" borderId="0" xfId="0" applyNumberFormat="1" applyFont="1" applyFill="1"/>
    <xf numFmtId="0" fontId="7" fillId="0" borderId="0" xfId="0" applyFont="1" applyBorder="1"/>
    <xf numFmtId="0" fontId="20" fillId="0" borderId="0" xfId="0" applyFont="1" applyBorder="1" applyAlignment="1">
      <alignment horizontal="right" vertical="top"/>
    </xf>
    <xf numFmtId="9" fontId="0" fillId="0" borderId="0" xfId="2" applyFont="1"/>
    <xf numFmtId="0" fontId="1" fillId="0" borderId="0" xfId="0" applyFont="1"/>
    <xf numFmtId="43" fontId="13" fillId="0" borderId="0" xfId="1" applyFont="1"/>
    <xf numFmtId="0" fontId="8" fillId="0" borderId="0" xfId="0" applyFont="1" applyBorder="1"/>
    <xf numFmtId="0" fontId="13" fillId="0" borderId="0" xfId="0" applyFont="1" applyBorder="1" applyAlignment="1">
      <alignment horizontal="left" indent="2"/>
    </xf>
    <xf numFmtId="0" fontId="23" fillId="0" borderId="0" xfId="0" applyFont="1" applyBorder="1" applyAlignment="1">
      <alignment horizontal="left" indent="2"/>
    </xf>
    <xf numFmtId="0" fontId="24" fillId="0" borderId="0" xfId="0" applyFont="1" applyBorder="1"/>
    <xf numFmtId="0" fontId="1" fillId="0" borderId="0" xfId="0" applyFont="1" applyFill="1"/>
    <xf numFmtId="4" fontId="7" fillId="0" borderId="0" xfId="0" applyNumberFormat="1" applyFont="1" applyBorder="1"/>
    <xf numFmtId="4" fontId="0" fillId="0" borderId="0" xfId="0" applyNumberFormat="1" applyBorder="1"/>
    <xf numFmtId="43" fontId="13" fillId="0" borderId="0" xfId="1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7" fillId="0" borderId="0" xfId="1" applyFont="1" applyBorder="1"/>
    <xf numFmtId="37" fontId="17" fillId="0" borderId="0" xfId="0" applyNumberFormat="1" applyFont="1" applyFill="1" applyBorder="1"/>
    <xf numFmtId="37" fontId="11" fillId="0" borderId="0" xfId="0" applyNumberFormat="1" applyFont="1" applyFill="1" applyBorder="1"/>
    <xf numFmtId="37" fontId="11" fillId="0" borderId="0" xfId="0" applyNumberFormat="1" applyFont="1" applyBorder="1"/>
    <xf numFmtId="39" fontId="12" fillId="0" borderId="0" xfId="0" applyNumberFormat="1" applyFont="1" applyBorder="1" applyAlignment="1">
      <alignment horizontal="right"/>
    </xf>
    <xf numFmtId="39" fontId="17" fillId="0" borderId="0" xfId="0" applyNumberFormat="1" applyFont="1" applyBorder="1"/>
    <xf numFmtId="39" fontId="17" fillId="0" borderId="0" xfId="0" applyNumberFormat="1" applyFont="1" applyFill="1" applyBorder="1"/>
    <xf numFmtId="39" fontId="11" fillId="0" borderId="0" xfId="0" applyNumberFormat="1" applyFont="1" applyFill="1" applyBorder="1"/>
    <xf numFmtId="0" fontId="15" fillId="0" borderId="0" xfId="0" applyFont="1"/>
    <xf numFmtId="39" fontId="15" fillId="0" borderId="0" xfId="0" applyNumberFormat="1" applyFont="1" applyBorder="1"/>
    <xf numFmtId="4" fontId="19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/>
    <xf numFmtId="4" fontId="19" fillId="0" borderId="0" xfId="0" applyNumberFormat="1" applyFont="1" applyBorder="1"/>
    <xf numFmtId="4" fontId="15" fillId="0" borderId="0" xfId="0" applyNumberFormat="1" applyFont="1" applyFill="1" applyBorder="1"/>
    <xf numFmtId="4" fontId="7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0" fontId="5" fillId="0" borderId="0" xfId="0" applyNumberFormat="1" applyFont="1" applyBorder="1"/>
    <xf numFmtId="164" fontId="5" fillId="0" borderId="0" xfId="0" applyNumberFormat="1" applyFont="1" applyFill="1" applyBorder="1"/>
    <xf numFmtId="164" fontId="3" fillId="0" borderId="0" xfId="0" applyNumberFormat="1" applyFont="1" applyFill="1" applyBorder="1"/>
    <xf numFmtId="0" fontId="25" fillId="0" borderId="0" xfId="0" quotePrefix="1" applyFont="1" applyAlignment="1">
      <alignment horizontal="right" vertical="top"/>
    </xf>
    <xf numFmtId="0" fontId="8" fillId="0" borderId="0" xfId="0" applyFont="1" applyFill="1" applyBorder="1"/>
    <xf numFmtId="0" fontId="0" fillId="0" borderId="0" xfId="0" applyFont="1" applyFill="1" applyBorder="1"/>
    <xf numFmtId="0" fontId="8" fillId="0" borderId="0" xfId="0" applyFont="1" applyFill="1"/>
    <xf numFmtId="49" fontId="0" fillId="0" borderId="0" xfId="0" applyNumberFormat="1" applyBorder="1"/>
    <xf numFmtId="0" fontId="0" fillId="0" borderId="0" xfId="0" applyFill="1" applyBorder="1"/>
    <xf numFmtId="49" fontId="14" fillId="0" borderId="7" xfId="0" quotePrefix="1" applyNumberFormat="1" applyFont="1" applyFill="1" applyBorder="1" applyAlignment="1">
      <alignment horizontal="right"/>
    </xf>
    <xf numFmtId="39" fontId="26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9" fontId="19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43" fontId="0" fillId="0" borderId="0" xfId="1" applyFont="1"/>
    <xf numFmtId="14" fontId="14" fillId="0" borderId="6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5" fillId="0" borderId="0" xfId="0" applyFont="1" applyBorder="1"/>
    <xf numFmtId="14" fontId="14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left" indent="2"/>
    </xf>
    <xf numFmtId="14" fontId="16" fillId="0" borderId="4" xfId="0" applyNumberFormat="1" applyFont="1" applyBorder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16" fillId="0" borderId="5" xfId="0" applyNumberFormat="1" applyFont="1" applyBorder="1" applyAlignment="1">
      <alignment horizontal="right"/>
    </xf>
    <xf numFmtId="14" fontId="16" fillId="0" borderId="6" xfId="0" applyNumberFormat="1" applyFont="1" applyBorder="1" applyAlignment="1">
      <alignment horizontal="right"/>
    </xf>
    <xf numFmtId="14" fontId="14" fillId="0" borderId="0" xfId="0" applyNumberFormat="1" applyFont="1" applyFill="1" applyBorder="1" applyAlignment="1">
      <alignment horizontal="right"/>
    </xf>
    <xf numFmtId="16" fontId="11" fillId="0" borderId="0" xfId="0" quotePrefix="1" applyNumberFormat="1" applyFont="1" applyAlignment="1">
      <alignment horizontal="right"/>
    </xf>
    <xf numFmtId="16" fontId="14" fillId="0" borderId="0" xfId="0" quotePrefix="1" applyNumberFormat="1" applyFont="1" applyAlignment="1">
      <alignment horizontal="right"/>
    </xf>
    <xf numFmtId="14" fontId="14" fillId="0" borderId="0" xfId="0" quotePrefix="1" applyNumberFormat="1" applyFont="1" applyBorder="1" applyAlignment="1">
      <alignment horizontal="right"/>
    </xf>
    <xf numFmtId="0" fontId="17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11" fillId="0" borderId="0" xfId="0" applyFont="1" applyBorder="1" applyAlignment="1">
      <alignment horizontal="left" indent="4"/>
    </xf>
    <xf numFmtId="43" fontId="17" fillId="0" borderId="0" xfId="1" applyFont="1" applyBorder="1" applyAlignment="1">
      <alignment horizontal="right"/>
    </xf>
    <xf numFmtId="39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quotePrefix="1" applyFont="1" applyAlignment="1">
      <alignment horizontal="right"/>
    </xf>
    <xf numFmtId="43" fontId="29" fillId="0" borderId="0" xfId="1" applyFont="1" applyFill="1"/>
    <xf numFmtId="0" fontId="19" fillId="0" borderId="0" xfId="0" applyFont="1" applyAlignment="1">
      <alignment horizontal="right" vertical="top"/>
    </xf>
    <xf numFmtId="164" fontId="21" fillId="0" borderId="0" xfId="2" applyNumberFormat="1" applyFont="1" applyFill="1"/>
    <xf numFmtId="39" fontId="30" fillId="0" borderId="0" xfId="0" applyNumberFormat="1" applyFont="1" applyFill="1"/>
    <xf numFmtId="4" fontId="21" fillId="0" borderId="0" xfId="0" applyNumberFormat="1" applyFont="1" applyFill="1"/>
    <xf numFmtId="4" fontId="29" fillId="0" borderId="0" xfId="1" applyNumberFormat="1" applyFont="1" applyFill="1"/>
    <xf numFmtId="164" fontId="31" fillId="0" borderId="0" xfId="2" applyNumberFormat="1" applyFont="1" applyFill="1"/>
    <xf numFmtId="164" fontId="32" fillId="0" borderId="0" xfId="2" applyNumberFormat="1" applyFont="1" applyFill="1"/>
    <xf numFmtId="164" fontId="16" fillId="0" borderId="0" xfId="0" applyNumberFormat="1" applyFont="1" applyFill="1"/>
    <xf numFmtId="164" fontId="17" fillId="0" borderId="0" xfId="0" applyNumberFormat="1" applyFont="1" applyFill="1"/>
    <xf numFmtId="164" fontId="17" fillId="0" borderId="0" xfId="0" applyNumberFormat="1" applyFont="1" applyFill="1" applyBorder="1"/>
    <xf numFmtId="164" fontId="16" fillId="0" borderId="0" xfId="0" applyNumberFormat="1" applyFont="1" applyFill="1" applyBorder="1"/>
    <xf numFmtId="37" fontId="12" fillId="0" borderId="12" xfId="0" applyNumberFormat="1" applyFont="1" applyBorder="1"/>
    <xf numFmtId="39" fontId="12" fillId="0" borderId="2" xfId="0" applyNumberFormat="1" applyFont="1" applyBorder="1"/>
    <xf numFmtId="39" fontId="13" fillId="0" borderId="2" xfId="0" applyNumberFormat="1" applyFont="1" applyBorder="1"/>
    <xf numFmtId="39" fontId="13" fillId="0" borderId="2" xfId="0" applyNumberFormat="1" applyFont="1" applyFill="1" applyBorder="1"/>
    <xf numFmtId="39" fontId="12" fillId="0" borderId="2" xfId="0" applyNumberFormat="1" applyFont="1" applyFill="1" applyBorder="1"/>
    <xf numFmtId="39" fontId="13" fillId="0" borderId="12" xfId="0" applyNumberFormat="1" applyFont="1" applyFill="1" applyBorder="1"/>
    <xf numFmtId="43" fontId="0" fillId="0" borderId="0" xfId="0" applyNumberFormat="1" applyBorder="1"/>
    <xf numFmtId="49" fontId="8" fillId="0" borderId="0" xfId="0" applyNumberFormat="1" applyFont="1" applyAlignment="1">
      <alignment horizontal="left" vertical="center" wrapText="1"/>
    </xf>
    <xf numFmtId="16" fontId="13" fillId="0" borderId="1" xfId="0" quotePrefix="1" applyNumberFormat="1" applyFont="1" applyBorder="1" applyAlignment="1">
      <alignment horizontal="center" vertical="center"/>
    </xf>
    <xf numFmtId="16" fontId="13" fillId="0" borderId="2" xfId="0" quotePrefix="1" applyNumberFormat="1" applyFont="1" applyBorder="1" applyAlignment="1">
      <alignment horizontal="center" vertical="center"/>
    </xf>
    <xf numFmtId="16" fontId="13" fillId="0" borderId="3" xfId="0" quotePrefix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79"/>
  <sheetViews>
    <sheetView tabSelected="1" zoomScale="90" zoomScaleNormal="90" zoomScaleSheetLayoutView="100" workbookViewId="0">
      <selection activeCell="BP21" sqref="BP21"/>
    </sheetView>
  </sheetViews>
  <sheetFormatPr defaultRowHeight="12.75" x14ac:dyDescent="0.2"/>
  <cols>
    <col min="1" max="1" width="0.85546875" customWidth="1"/>
    <col min="2" max="2" width="3.140625" customWidth="1"/>
    <col min="3" max="3" width="3.85546875" customWidth="1"/>
    <col min="4" max="4" width="21.7109375" customWidth="1"/>
    <col min="5" max="5" width="1.140625" customWidth="1"/>
    <col min="6" max="6" width="12.85546875" hidden="1" customWidth="1"/>
    <col min="7" max="7" width="1" hidden="1" customWidth="1"/>
    <col min="8" max="8" width="13.5703125" hidden="1" customWidth="1"/>
    <col min="9" max="9" width="1" hidden="1" customWidth="1"/>
    <col min="10" max="10" width="12.85546875" hidden="1" customWidth="1"/>
    <col min="11" max="11" width="1.140625" hidden="1" customWidth="1"/>
    <col min="12" max="12" width="12.28515625" hidden="1" customWidth="1"/>
    <col min="13" max="13" width="1.28515625" hidden="1" customWidth="1"/>
    <col min="14" max="14" width="12.42578125" hidden="1" customWidth="1"/>
    <col min="15" max="15" width="2.42578125" hidden="1" customWidth="1"/>
    <col min="16" max="16" width="14.5703125" hidden="1" customWidth="1"/>
    <col min="17" max="17" width="1.7109375" hidden="1" customWidth="1"/>
    <col min="18" max="18" width="14.140625" hidden="1" customWidth="1"/>
    <col min="19" max="19" width="1.42578125" hidden="1" customWidth="1"/>
    <col min="20" max="20" width="14" hidden="1" customWidth="1"/>
    <col min="21" max="21" width="3.28515625" hidden="1" customWidth="1"/>
    <col min="22" max="22" width="13.140625" style="10" hidden="1" customWidth="1"/>
    <col min="23" max="23" width="1.140625" style="10" hidden="1" customWidth="1"/>
    <col min="24" max="24" width="13.140625" style="10" hidden="1" customWidth="1"/>
    <col min="25" max="25" width="2" style="10" hidden="1" customWidth="1"/>
    <col min="26" max="26" width="12.5703125" style="10" hidden="1" customWidth="1"/>
    <col min="27" max="27" width="2.140625" style="10" hidden="1" customWidth="1"/>
    <col min="28" max="28" width="12.5703125" style="10" hidden="1" customWidth="1"/>
    <col min="29" max="29" width="2.140625" style="10" hidden="1" customWidth="1"/>
    <col min="30" max="30" width="12.5703125" style="10" hidden="1" customWidth="1"/>
    <col min="31" max="31" width="2" hidden="1" customWidth="1"/>
    <col min="32" max="32" width="12.5703125" style="11" hidden="1" customWidth="1"/>
    <col min="33" max="33" width="2" style="11" hidden="1" customWidth="1"/>
    <col min="34" max="34" width="13.42578125" style="11" hidden="1" customWidth="1"/>
    <col min="35" max="35" width="2" hidden="1" customWidth="1"/>
    <col min="36" max="36" width="13.85546875" hidden="1" customWidth="1"/>
    <col min="37" max="37" width="2.85546875" hidden="1" customWidth="1"/>
    <col min="38" max="38" width="13.85546875" hidden="1" customWidth="1"/>
    <col min="39" max="39" width="3.7109375" hidden="1" customWidth="1"/>
    <col min="40" max="40" width="13.85546875" hidden="1" customWidth="1"/>
    <col min="41" max="41" width="3.28515625" hidden="1" customWidth="1"/>
    <col min="42" max="42" width="13.85546875" hidden="1" customWidth="1"/>
    <col min="43" max="43" width="2" hidden="1" customWidth="1"/>
    <col min="44" max="44" width="13.85546875" hidden="1" customWidth="1"/>
    <col min="45" max="45" width="2" hidden="1" customWidth="1"/>
    <col min="46" max="46" width="13.85546875" hidden="1" customWidth="1"/>
    <col min="47" max="47" width="2.140625" hidden="1" customWidth="1"/>
    <col min="48" max="48" width="13.85546875" hidden="1" customWidth="1"/>
    <col min="49" max="49" width="2.140625" hidden="1" customWidth="1"/>
    <col min="50" max="50" width="13.85546875" hidden="1" customWidth="1"/>
    <col min="51" max="51" width="2.140625" hidden="1" customWidth="1"/>
    <col min="52" max="52" width="13.85546875" hidden="1" customWidth="1"/>
    <col min="53" max="53" width="2.140625" hidden="1" customWidth="1"/>
    <col min="54" max="54" width="13.85546875" hidden="1" customWidth="1"/>
    <col min="55" max="55" width="2.7109375" hidden="1" customWidth="1"/>
    <col min="56" max="56" width="13.85546875" customWidth="1"/>
    <col min="57" max="57" width="2" customWidth="1"/>
    <col min="58" max="58" width="13.85546875" style="11" customWidth="1"/>
    <col min="59" max="59" width="2" customWidth="1"/>
    <col min="60" max="60" width="13.85546875" customWidth="1"/>
    <col min="61" max="61" width="2" customWidth="1"/>
    <col min="62" max="62" width="14.5703125" hidden="1" customWidth="1"/>
    <col min="63" max="63" width="2" hidden="1" customWidth="1"/>
    <col min="64" max="64" width="14.5703125" hidden="1" customWidth="1"/>
    <col min="65" max="65" width="2.140625" hidden="1" customWidth="1"/>
    <col min="66" max="66" width="14.5703125" customWidth="1"/>
    <col min="67" max="67" width="2.140625" customWidth="1"/>
    <col min="68" max="68" width="14.7109375" customWidth="1"/>
    <col min="69" max="69" width="2.140625" customWidth="1"/>
    <col min="70" max="70" width="12.42578125" customWidth="1"/>
    <col min="71" max="71" width="2" customWidth="1"/>
    <col min="72" max="72" width="12.140625" bestFit="1" customWidth="1"/>
  </cols>
  <sheetData>
    <row r="1" spans="1:73" ht="18" x14ac:dyDescent="0.25">
      <c r="A1" s="1" t="s">
        <v>0</v>
      </c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5"/>
      <c r="AG1" s="5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5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191" t="s">
        <v>67</v>
      </c>
      <c r="BS1" s="6"/>
    </row>
    <row r="2" spans="1:73" ht="18" x14ac:dyDescent="0.25">
      <c r="A2" s="1" t="s">
        <v>1</v>
      </c>
      <c r="L2" s="8"/>
      <c r="M2" s="8"/>
      <c r="N2" s="8"/>
      <c r="O2" s="8"/>
      <c r="P2" s="8"/>
      <c r="Q2" s="8"/>
      <c r="R2" s="8"/>
      <c r="S2" s="8"/>
      <c r="T2" s="9"/>
      <c r="BR2" s="191" t="s">
        <v>72</v>
      </c>
      <c r="BS2" s="12"/>
    </row>
    <row r="3" spans="1:73" ht="9.75" customHeight="1" thickBot="1" x14ac:dyDescent="0.3">
      <c r="A3" s="14"/>
      <c r="L3" s="8"/>
      <c r="M3" s="8"/>
      <c r="N3" s="8"/>
      <c r="O3" s="8"/>
      <c r="P3" s="8"/>
      <c r="Q3" s="8"/>
      <c r="R3" s="8"/>
      <c r="S3" s="8"/>
      <c r="T3" s="9"/>
      <c r="BR3" s="12"/>
      <c r="BS3" s="12"/>
    </row>
    <row r="4" spans="1:73" ht="17.25" customHeight="1" thickBot="1" x14ac:dyDescent="0.25">
      <c r="A4" s="15"/>
      <c r="F4" s="16"/>
      <c r="G4" s="16"/>
      <c r="H4" s="16"/>
      <c r="I4" s="16"/>
      <c r="J4" s="16"/>
      <c r="K4" s="16"/>
      <c r="L4" s="8"/>
      <c r="M4" s="8"/>
      <c r="N4" s="8"/>
      <c r="O4" s="8"/>
      <c r="P4" s="8"/>
      <c r="Q4" s="8"/>
      <c r="R4" s="8"/>
      <c r="S4" s="8"/>
      <c r="T4" s="17" t="s">
        <v>2</v>
      </c>
      <c r="U4" s="18"/>
      <c r="V4" s="212" t="s">
        <v>3</v>
      </c>
      <c r="W4" s="213"/>
      <c r="X4" s="214"/>
      <c r="Y4" s="19"/>
      <c r="Z4" s="19"/>
      <c r="AA4" s="19"/>
      <c r="AB4" s="19"/>
      <c r="AC4" s="19"/>
      <c r="AD4" s="20"/>
      <c r="AE4" s="20"/>
      <c r="AF4" s="21"/>
      <c r="AG4" s="21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50"/>
      <c r="AS4" s="16"/>
      <c r="AT4" s="50"/>
      <c r="AU4" s="16"/>
      <c r="AV4" s="50"/>
      <c r="AW4" s="16"/>
      <c r="AX4" s="50"/>
      <c r="AY4" s="16"/>
      <c r="AZ4" s="50"/>
      <c r="BA4" s="16"/>
      <c r="BB4" s="50"/>
      <c r="BC4" s="16"/>
      <c r="BD4" s="50"/>
      <c r="BE4" s="16"/>
      <c r="BF4" s="50"/>
      <c r="BG4" s="16"/>
      <c r="BH4" s="50"/>
      <c r="BI4" s="16"/>
      <c r="BJ4" s="50"/>
      <c r="BK4" s="50"/>
      <c r="BL4" s="50"/>
      <c r="BM4" s="16"/>
      <c r="BN4" s="50"/>
      <c r="BO4" s="16"/>
      <c r="BP4" s="16"/>
      <c r="BQ4" s="16"/>
      <c r="BR4" s="22"/>
      <c r="BS4" s="22"/>
    </row>
    <row r="5" spans="1:73" s="146" customFormat="1" ht="12" customHeight="1" x14ac:dyDescent="0.2">
      <c r="C5" s="171"/>
      <c r="G5" s="23"/>
      <c r="H5" s="172"/>
      <c r="I5" s="173"/>
      <c r="J5" s="174" t="s">
        <v>4</v>
      </c>
      <c r="L5" s="175" t="s">
        <v>4</v>
      </c>
      <c r="M5" s="173"/>
      <c r="O5" s="173"/>
      <c r="Q5" s="173"/>
      <c r="R5" s="173"/>
      <c r="S5" s="173"/>
      <c r="T5" s="176" t="s">
        <v>5</v>
      </c>
      <c r="U5" s="173"/>
      <c r="V5" s="177" t="s">
        <v>6</v>
      </c>
      <c r="W5" s="178"/>
      <c r="X5" s="179" t="s">
        <v>7</v>
      </c>
      <c r="Y5" s="178"/>
      <c r="Z5" s="180" t="s">
        <v>6</v>
      </c>
      <c r="AA5" s="178"/>
      <c r="AB5" s="180" t="s">
        <v>6</v>
      </c>
      <c r="AC5" s="178"/>
      <c r="AD5" s="180" t="s">
        <v>6</v>
      </c>
      <c r="AE5" s="173"/>
      <c r="AF5" s="170" t="s">
        <v>6</v>
      </c>
      <c r="AG5" s="181"/>
      <c r="AH5" s="170" t="s">
        <v>6</v>
      </c>
      <c r="AI5" s="173"/>
      <c r="AJ5" s="170" t="s">
        <v>8</v>
      </c>
      <c r="AK5" s="181"/>
      <c r="AL5" s="170" t="s">
        <v>9</v>
      </c>
      <c r="AM5" s="181"/>
      <c r="AN5" s="170" t="s">
        <v>10</v>
      </c>
      <c r="AO5" s="181"/>
      <c r="AP5" s="170" t="s">
        <v>6</v>
      </c>
      <c r="AQ5" s="181"/>
      <c r="AR5" s="170" t="s">
        <v>6</v>
      </c>
      <c r="AS5" s="181"/>
      <c r="AT5" s="170" t="s">
        <v>9</v>
      </c>
      <c r="AU5" s="181"/>
      <c r="AV5" s="170" t="s">
        <v>55</v>
      </c>
      <c r="AW5" s="181"/>
      <c r="AX5" s="170" t="s">
        <v>56</v>
      </c>
      <c r="AY5" s="181"/>
      <c r="AZ5" s="170" t="s">
        <v>58</v>
      </c>
      <c r="BA5" s="181"/>
      <c r="BB5" s="170" t="s">
        <v>60</v>
      </c>
      <c r="BC5" s="173"/>
      <c r="BD5" s="170" t="s">
        <v>4</v>
      </c>
      <c r="BE5" s="181"/>
      <c r="BF5" s="170" t="s">
        <v>6</v>
      </c>
      <c r="BG5" s="181"/>
      <c r="BH5" s="170" t="s">
        <v>6</v>
      </c>
      <c r="BI5" s="181"/>
      <c r="BJ5" s="170" t="s">
        <v>9</v>
      </c>
      <c r="BK5" s="181"/>
      <c r="BL5" s="170" t="s">
        <v>66</v>
      </c>
      <c r="BM5" s="181"/>
      <c r="BN5" s="170" t="s">
        <v>6</v>
      </c>
      <c r="BO5" s="181"/>
      <c r="BP5" s="170" t="s">
        <v>72</v>
      </c>
      <c r="BQ5" s="181"/>
      <c r="BR5" s="170" t="s">
        <v>11</v>
      </c>
      <c r="BS5" s="181"/>
    </row>
    <row r="6" spans="1:73" s="146" customFormat="1" x14ac:dyDescent="0.2">
      <c r="D6" s="24"/>
      <c r="E6" s="24"/>
      <c r="F6" s="175" t="s">
        <v>12</v>
      </c>
      <c r="G6" s="23"/>
      <c r="H6" s="175" t="s">
        <v>13</v>
      </c>
      <c r="I6" s="173"/>
      <c r="J6" s="182" t="s">
        <v>14</v>
      </c>
      <c r="L6" s="182" t="s">
        <v>15</v>
      </c>
      <c r="M6" s="173"/>
      <c r="N6" s="183" t="s">
        <v>16</v>
      </c>
      <c r="O6" s="173"/>
      <c r="P6" s="183" t="s">
        <v>17</v>
      </c>
      <c r="Q6" s="173"/>
      <c r="R6" s="184" t="s">
        <v>18</v>
      </c>
      <c r="S6" s="184"/>
      <c r="T6" s="25" t="s">
        <v>19</v>
      </c>
      <c r="U6" s="22"/>
      <c r="V6" s="26" t="s">
        <v>20</v>
      </c>
      <c r="W6" s="27"/>
      <c r="X6" s="28" t="s">
        <v>21</v>
      </c>
      <c r="Y6" s="27"/>
      <c r="Z6" s="29" t="s">
        <v>20</v>
      </c>
      <c r="AA6" s="27"/>
      <c r="AB6" s="29" t="s">
        <v>22</v>
      </c>
      <c r="AC6" s="27"/>
      <c r="AD6" s="29" t="s">
        <v>22</v>
      </c>
      <c r="AE6" s="22"/>
      <c r="AF6" s="30" t="s">
        <v>22</v>
      </c>
      <c r="AG6" s="31"/>
      <c r="AH6" s="30" t="s">
        <v>23</v>
      </c>
      <c r="AI6" s="22"/>
      <c r="AJ6" s="30" t="s">
        <v>24</v>
      </c>
      <c r="AK6" s="31"/>
      <c r="AL6" s="30" t="s">
        <v>23</v>
      </c>
      <c r="AM6" s="31"/>
      <c r="AN6" s="30" t="s">
        <v>24</v>
      </c>
      <c r="AO6" s="31"/>
      <c r="AP6" s="30" t="s">
        <v>25</v>
      </c>
      <c r="AQ6" s="31"/>
      <c r="AR6" s="30" t="s">
        <v>23</v>
      </c>
      <c r="AS6" s="31"/>
      <c r="AT6" s="30" t="s">
        <v>23</v>
      </c>
      <c r="AU6" s="31"/>
      <c r="AV6" s="30" t="s">
        <v>24</v>
      </c>
      <c r="AW6" s="31"/>
      <c r="AX6" s="163" t="s">
        <v>57</v>
      </c>
      <c r="AY6" s="31"/>
      <c r="AZ6" s="163" t="s">
        <v>23</v>
      </c>
      <c r="BA6" s="31"/>
      <c r="BB6" s="30" t="s">
        <v>61</v>
      </c>
      <c r="BC6" s="22"/>
      <c r="BD6" s="30" t="s">
        <v>60</v>
      </c>
      <c r="BE6" s="31"/>
      <c r="BF6" s="163" t="s">
        <v>23</v>
      </c>
      <c r="BG6" s="31"/>
      <c r="BH6" s="30" t="s">
        <v>23</v>
      </c>
      <c r="BI6" s="31"/>
      <c r="BJ6" s="30" t="s">
        <v>23</v>
      </c>
      <c r="BK6" s="31"/>
      <c r="BL6" s="30" t="s">
        <v>55</v>
      </c>
      <c r="BM6" s="31"/>
      <c r="BN6" s="30" t="s">
        <v>23</v>
      </c>
      <c r="BO6" s="31"/>
      <c r="BP6" s="30" t="s">
        <v>68</v>
      </c>
      <c r="BQ6" s="31"/>
      <c r="BR6" s="30" t="s">
        <v>26</v>
      </c>
      <c r="BS6" s="31"/>
    </row>
    <row r="7" spans="1:73" s="146" customFormat="1" ht="15.75" thickBot="1" x14ac:dyDescent="0.25">
      <c r="A7" s="7" t="s">
        <v>27</v>
      </c>
      <c r="D7" s="24"/>
      <c r="E7" s="24"/>
      <c r="F7" s="175"/>
      <c r="G7" s="32"/>
      <c r="I7" s="32"/>
      <c r="J7" s="33"/>
      <c r="M7" s="33"/>
      <c r="O7" s="33"/>
      <c r="Q7" s="33"/>
      <c r="R7" s="33"/>
      <c r="S7" s="33"/>
      <c r="T7" s="22"/>
      <c r="U7" s="33"/>
      <c r="V7" s="185" t="s">
        <v>28</v>
      </c>
      <c r="W7" s="34"/>
      <c r="X7" s="186" t="s">
        <v>29</v>
      </c>
      <c r="Y7" s="35"/>
      <c r="Z7" s="36" t="s">
        <v>30</v>
      </c>
      <c r="AA7" s="37"/>
      <c r="AB7" s="36" t="s">
        <v>31</v>
      </c>
      <c r="AC7" s="33"/>
      <c r="AD7" s="38" t="s">
        <v>32</v>
      </c>
      <c r="AE7" s="37"/>
      <c r="AF7" s="39" t="s">
        <v>33</v>
      </c>
      <c r="AG7" s="40"/>
      <c r="AH7" s="39" t="s">
        <v>34</v>
      </c>
      <c r="AI7" s="37"/>
      <c r="AJ7" s="39" t="s">
        <v>35</v>
      </c>
      <c r="AK7" s="40"/>
      <c r="AL7" s="39" t="s">
        <v>35</v>
      </c>
      <c r="AM7" s="40"/>
      <c r="AN7" s="39" t="s">
        <v>35</v>
      </c>
      <c r="AO7" s="40"/>
      <c r="AP7" s="39" t="s">
        <v>35</v>
      </c>
      <c r="AQ7" s="40"/>
      <c r="AR7" s="39" t="s">
        <v>36</v>
      </c>
      <c r="AS7" s="40"/>
      <c r="AT7" s="39" t="s">
        <v>37</v>
      </c>
      <c r="AU7" s="40"/>
      <c r="AV7" s="39" t="s">
        <v>37</v>
      </c>
      <c r="AW7" s="40"/>
      <c r="AX7" s="39" t="s">
        <v>37</v>
      </c>
      <c r="AY7" s="40"/>
      <c r="AZ7" s="39" t="s">
        <v>37</v>
      </c>
      <c r="BA7" s="40"/>
      <c r="BB7" s="39" t="s">
        <v>37</v>
      </c>
      <c r="BC7" s="37"/>
      <c r="BD7" s="39" t="s">
        <v>37</v>
      </c>
      <c r="BE7" s="40"/>
      <c r="BF7" s="39" t="s">
        <v>62</v>
      </c>
      <c r="BG7" s="40"/>
      <c r="BH7" s="39" t="s">
        <v>63</v>
      </c>
      <c r="BI7" s="40"/>
      <c r="BJ7" s="39" t="s">
        <v>65</v>
      </c>
      <c r="BK7" s="40"/>
      <c r="BL7" s="39" t="s">
        <v>65</v>
      </c>
      <c r="BM7" s="40"/>
      <c r="BN7" s="39" t="s">
        <v>65</v>
      </c>
      <c r="BO7" s="40"/>
      <c r="BP7" s="39" t="s">
        <v>69</v>
      </c>
      <c r="BQ7" s="40"/>
      <c r="BR7" s="39" t="s">
        <v>69</v>
      </c>
      <c r="BS7" s="40"/>
    </row>
    <row r="8" spans="1:73" s="42" customFormat="1" ht="9.6" customHeight="1" x14ac:dyDescent="0.2">
      <c r="A8" s="41"/>
      <c r="D8" s="43"/>
      <c r="E8" s="43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44"/>
      <c r="S8" s="187"/>
      <c r="T8" s="44"/>
      <c r="U8" s="45"/>
      <c r="V8" s="46"/>
      <c r="W8" s="47"/>
      <c r="X8" s="46"/>
      <c r="Y8" s="47"/>
      <c r="Z8" s="47"/>
      <c r="AA8" s="47"/>
      <c r="AB8" s="47"/>
      <c r="AC8" s="47"/>
      <c r="AD8" s="47"/>
      <c r="AE8" s="187"/>
      <c r="AF8" s="48"/>
      <c r="AG8" s="48"/>
      <c r="AH8" s="48"/>
      <c r="AI8" s="187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187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9"/>
      <c r="BS8" s="49"/>
      <c r="BT8"/>
      <c r="BU8"/>
    </row>
    <row r="9" spans="1:73" x14ac:dyDescent="0.2">
      <c r="B9" s="51" t="s">
        <v>38</v>
      </c>
      <c r="AF9" s="52"/>
      <c r="AG9" s="52"/>
      <c r="AH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</row>
    <row r="10" spans="1:73" x14ac:dyDescent="0.2">
      <c r="C10" t="s">
        <v>39</v>
      </c>
      <c r="AF10" s="52"/>
      <c r="AG10" s="52"/>
      <c r="AH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</row>
    <row r="11" spans="1:73" x14ac:dyDescent="0.2">
      <c r="D11" t="s">
        <v>40</v>
      </c>
      <c r="F11" s="53">
        <v>256.68</v>
      </c>
      <c r="H11" s="54">
        <v>282.52999999999997</v>
      </c>
      <c r="I11" s="8"/>
      <c r="J11" s="54">
        <f>282.2-11.41</f>
        <v>270.78999999999996</v>
      </c>
      <c r="K11" s="55" t="s">
        <v>41</v>
      </c>
      <c r="L11" s="54">
        <f>309.56-12.08</f>
        <v>297.48</v>
      </c>
      <c r="M11" s="54" t="s">
        <v>41</v>
      </c>
      <c r="N11" s="55">
        <v>284.12</v>
      </c>
      <c r="O11" s="55"/>
      <c r="P11" s="55">
        <v>263.24</v>
      </c>
      <c r="Q11" s="55"/>
      <c r="R11" s="55">
        <v>266</v>
      </c>
      <c r="S11" s="55"/>
      <c r="T11" s="55">
        <v>309.77999999999997</v>
      </c>
      <c r="U11" s="55"/>
      <c r="V11" s="56">
        <f>132.91+233.53</f>
        <v>366.44</v>
      </c>
      <c r="W11" s="8"/>
      <c r="X11" s="56">
        <f>132.91+233.53</f>
        <v>366.44</v>
      </c>
      <c r="Y11" s="56"/>
      <c r="Z11" s="56">
        <v>361.57</v>
      </c>
      <c r="AA11" s="8"/>
      <c r="AB11" s="56">
        <v>378.6</v>
      </c>
      <c r="AC11" s="56"/>
      <c r="AD11" s="56">
        <v>237.79</v>
      </c>
      <c r="AE11" s="56"/>
      <c r="AF11" s="57">
        <v>131.78</v>
      </c>
      <c r="AG11" s="57"/>
      <c r="AH11" s="57">
        <v>143.84</v>
      </c>
      <c r="AI11" s="58"/>
      <c r="AJ11" s="57">
        <v>359.36</v>
      </c>
      <c r="AK11" s="59"/>
      <c r="AL11" s="59">
        <v>359.36</v>
      </c>
      <c r="AM11" s="59"/>
      <c r="AN11" s="59">
        <v>359.87</v>
      </c>
      <c r="AO11" s="59"/>
      <c r="AP11" s="57">
        <v>359.87</v>
      </c>
      <c r="AQ11" s="57"/>
      <c r="AR11" s="57">
        <v>298.92</v>
      </c>
      <c r="AS11" s="57"/>
      <c r="AT11" s="57">
        <f>265.88+45.6</f>
        <v>311.48</v>
      </c>
      <c r="AU11" s="57"/>
      <c r="AV11" s="57">
        <f>265.89+45.6</f>
        <v>311.49</v>
      </c>
      <c r="AW11" s="57"/>
      <c r="AX11" s="57">
        <f>265.89+45.6</f>
        <v>311.49</v>
      </c>
      <c r="AY11" s="57"/>
      <c r="AZ11" s="57">
        <f>265.89+45.6</f>
        <v>311.49</v>
      </c>
      <c r="BA11" s="57"/>
      <c r="BB11" s="57">
        <f>265.89+45.6</f>
        <v>311.49</v>
      </c>
      <c r="BC11" s="60"/>
      <c r="BD11" s="57">
        <f>265.89+45.6</f>
        <v>311.49</v>
      </c>
      <c r="BE11" s="57"/>
      <c r="BF11" s="57">
        <v>376.32</v>
      </c>
      <c r="BG11" s="57"/>
      <c r="BH11" s="57">
        <v>374.54</v>
      </c>
      <c r="BI11" s="57"/>
      <c r="BJ11" s="57">
        <v>343.28</v>
      </c>
      <c r="BK11" s="57"/>
      <c r="BL11" s="57">
        <v>343.28</v>
      </c>
      <c r="BM11" s="57"/>
      <c r="BN11" s="57">
        <v>343.28</v>
      </c>
      <c r="BO11" s="57"/>
      <c r="BP11" s="57">
        <v>359.39</v>
      </c>
      <c r="BQ11" s="57"/>
      <c r="BR11" s="165" t="s">
        <v>70</v>
      </c>
      <c r="BS11" s="61"/>
    </row>
    <row r="12" spans="1:73" x14ac:dyDescent="0.2">
      <c r="C12" s="62"/>
      <c r="D12" t="s">
        <v>42</v>
      </c>
      <c r="F12" s="53">
        <v>12.42</v>
      </c>
      <c r="H12" s="54">
        <v>10.7</v>
      </c>
      <c r="I12" s="8"/>
      <c r="J12" s="54">
        <v>16.989999999999998</v>
      </c>
      <c r="K12" s="53"/>
      <c r="L12" s="54">
        <v>21.53</v>
      </c>
      <c r="M12" s="55"/>
      <c r="N12" s="55">
        <v>32.090000000000003</v>
      </c>
      <c r="O12" s="55"/>
      <c r="P12" s="55">
        <v>27.36</v>
      </c>
      <c r="Q12" s="55"/>
      <c r="R12" s="55">
        <v>29.49</v>
      </c>
      <c r="S12" s="55"/>
      <c r="T12" s="55">
        <v>19.739999999999998</v>
      </c>
      <c r="U12" s="55"/>
      <c r="V12" s="56">
        <v>30.62</v>
      </c>
      <c r="W12" s="8"/>
      <c r="X12" s="56">
        <v>30.62</v>
      </c>
      <c r="Y12" s="56"/>
      <c r="Z12" s="56">
        <v>28.81</v>
      </c>
      <c r="AA12" s="8"/>
      <c r="AB12" s="56">
        <f>23.99</f>
        <v>23.99</v>
      </c>
      <c r="AC12" s="56"/>
      <c r="AD12" s="56">
        <v>14.87</v>
      </c>
      <c r="AE12" s="56"/>
      <c r="AF12" s="63">
        <v>0</v>
      </c>
      <c r="AG12" s="57"/>
      <c r="AH12" s="63">
        <v>0</v>
      </c>
      <c r="AI12" s="58"/>
      <c r="AJ12" s="57">
        <v>4.88</v>
      </c>
      <c r="AK12" s="59"/>
      <c r="AL12" s="59">
        <v>4.88</v>
      </c>
      <c r="AM12" s="59"/>
      <c r="AN12" s="59">
        <v>4.88</v>
      </c>
      <c r="AO12" s="59"/>
      <c r="AP12" s="57">
        <v>4.88</v>
      </c>
      <c r="AQ12" s="57"/>
      <c r="AR12" s="57">
        <v>4.72</v>
      </c>
      <c r="AS12" s="57"/>
      <c r="AT12" s="57">
        <v>9.11</v>
      </c>
      <c r="AU12" s="57"/>
      <c r="AV12" s="57">
        <v>9.11</v>
      </c>
      <c r="AW12" s="57"/>
      <c r="AX12" s="57">
        <v>9.11</v>
      </c>
      <c r="AY12" s="57"/>
      <c r="AZ12" s="57">
        <v>9.11</v>
      </c>
      <c r="BA12" s="57"/>
      <c r="BB12" s="57">
        <v>9.11</v>
      </c>
      <c r="BC12" s="58"/>
      <c r="BD12" s="57">
        <v>9.11</v>
      </c>
      <c r="BE12" s="57"/>
      <c r="BF12" s="57">
        <v>7.64</v>
      </c>
      <c r="BG12" s="57"/>
      <c r="BH12" s="57">
        <v>4.59</v>
      </c>
      <c r="BI12" s="57"/>
      <c r="BJ12" s="57">
        <v>7.78</v>
      </c>
      <c r="BK12" s="57"/>
      <c r="BL12" s="57">
        <v>7.78</v>
      </c>
      <c r="BM12" s="57"/>
      <c r="BN12" s="57">
        <v>7.78</v>
      </c>
      <c r="BO12" s="57"/>
      <c r="BP12" s="57">
        <v>6.35</v>
      </c>
      <c r="BQ12" s="57"/>
      <c r="BR12" s="165" t="s">
        <v>70</v>
      </c>
      <c r="BS12" s="61"/>
    </row>
    <row r="13" spans="1:73" x14ac:dyDescent="0.2">
      <c r="C13" s="64"/>
      <c r="D13" t="s">
        <v>43</v>
      </c>
      <c r="F13" s="53">
        <v>48.22</v>
      </c>
      <c r="H13" s="54">
        <v>50</v>
      </c>
      <c r="I13" s="8"/>
      <c r="J13" s="54">
        <v>26</v>
      </c>
      <c r="K13" s="53"/>
      <c r="L13" s="54">
        <v>37.630000000000003</v>
      </c>
      <c r="M13" s="55"/>
      <c r="N13" s="55">
        <v>31.81</v>
      </c>
      <c r="O13" s="55"/>
      <c r="P13" s="55">
        <v>31.17</v>
      </c>
      <c r="Q13" s="55"/>
      <c r="R13" s="55">
        <v>31.82</v>
      </c>
      <c r="S13" s="55"/>
      <c r="T13" s="55">
        <v>45.32</v>
      </c>
      <c r="U13" s="55"/>
      <c r="V13" s="56">
        <v>56.49</v>
      </c>
      <c r="W13" s="8"/>
      <c r="X13" s="56">
        <v>56.49</v>
      </c>
      <c r="Y13" s="56"/>
      <c r="Z13" s="56">
        <f>5.56+85.95</f>
        <v>91.51</v>
      </c>
      <c r="AA13" s="8"/>
      <c r="AB13" s="56">
        <v>159.33000000000001</v>
      </c>
      <c r="AC13" s="56"/>
      <c r="AD13" s="56">
        <v>38.630000000000003</v>
      </c>
      <c r="AE13" s="56"/>
      <c r="AF13" s="63">
        <v>0</v>
      </c>
      <c r="AG13" s="57"/>
      <c r="AH13" s="57">
        <v>9.32</v>
      </c>
      <c r="AI13" s="58"/>
      <c r="AJ13" s="57">
        <v>6.44</v>
      </c>
      <c r="AK13" s="59"/>
      <c r="AL13" s="59">
        <v>6.75</v>
      </c>
      <c r="AM13" s="59"/>
      <c r="AN13" s="59">
        <v>6.75</v>
      </c>
      <c r="AO13" s="59"/>
      <c r="AP13" s="57">
        <v>6.75</v>
      </c>
      <c r="AQ13" s="57"/>
      <c r="AR13" s="57">
        <v>6.04</v>
      </c>
      <c r="AS13" s="57"/>
      <c r="AT13" s="57">
        <v>0</v>
      </c>
      <c r="AU13" s="57"/>
      <c r="AV13" s="57">
        <v>0</v>
      </c>
      <c r="AW13" s="57"/>
      <c r="AX13" s="57">
        <v>0</v>
      </c>
      <c r="AY13" s="57"/>
      <c r="AZ13" s="57">
        <v>0</v>
      </c>
      <c r="BA13" s="57"/>
      <c r="BB13" s="57">
        <v>0</v>
      </c>
      <c r="BC13" s="58"/>
      <c r="BD13" s="57">
        <v>0</v>
      </c>
      <c r="BE13" s="57"/>
      <c r="BF13" s="57">
        <v>0</v>
      </c>
      <c r="BG13" s="57"/>
      <c r="BH13" s="57">
        <v>0</v>
      </c>
      <c r="BI13" s="57"/>
      <c r="BJ13" s="57">
        <v>0</v>
      </c>
      <c r="BK13" s="57"/>
      <c r="BL13" s="57">
        <v>0</v>
      </c>
      <c r="BM13" s="57"/>
      <c r="BN13" s="57">
        <v>0</v>
      </c>
      <c r="BO13" s="57"/>
      <c r="BP13" s="57">
        <v>0</v>
      </c>
      <c r="BQ13" s="57"/>
      <c r="BR13" s="165" t="s">
        <v>70</v>
      </c>
      <c r="BS13" s="61"/>
    </row>
    <row r="14" spans="1:73" x14ac:dyDescent="0.2">
      <c r="C14" s="64"/>
      <c r="D14" t="s">
        <v>44</v>
      </c>
      <c r="F14" s="53"/>
      <c r="H14" s="54"/>
      <c r="I14" s="8"/>
      <c r="J14" s="54"/>
      <c r="K14" s="53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6">
        <v>-233.53</v>
      </c>
      <c r="W14" s="8"/>
      <c r="X14" s="56"/>
      <c r="Y14" s="56"/>
      <c r="Z14" s="56"/>
      <c r="AA14" s="8"/>
      <c r="AB14" s="56"/>
      <c r="AC14" s="56"/>
      <c r="AD14" s="56"/>
      <c r="AE14" s="56"/>
      <c r="AF14" s="57"/>
      <c r="AG14" s="57"/>
      <c r="AH14" s="63"/>
      <c r="AI14" s="8"/>
      <c r="AJ14" s="65">
        <v>-112.68</v>
      </c>
      <c r="AK14" s="66"/>
      <c r="AL14" s="66">
        <v>-112.68</v>
      </c>
      <c r="AM14" s="66"/>
      <c r="AN14" s="66">
        <v>-112.68</v>
      </c>
      <c r="AO14" s="66"/>
      <c r="AP14" s="65">
        <v>-112.68</v>
      </c>
      <c r="AQ14" s="65"/>
      <c r="AR14" s="65"/>
      <c r="AS14" s="65"/>
      <c r="AT14" s="65">
        <v>-45.6</v>
      </c>
      <c r="AU14" s="65"/>
      <c r="AV14" s="65">
        <v>-45.6</v>
      </c>
      <c r="AW14" s="65"/>
      <c r="AX14" s="65">
        <v>-45.6</v>
      </c>
      <c r="AY14" s="65"/>
      <c r="AZ14" s="65">
        <v>-45.6</v>
      </c>
      <c r="BA14" s="65"/>
      <c r="BB14" s="65">
        <v>-45.6</v>
      </c>
      <c r="BC14" s="8"/>
      <c r="BD14" s="196">
        <v>-45.6</v>
      </c>
      <c r="BE14" s="65"/>
      <c r="BF14" s="196">
        <v>-4.17</v>
      </c>
      <c r="BG14" s="65"/>
      <c r="BH14" s="196">
        <f>-116.27-213.92</f>
        <v>-330.19</v>
      </c>
      <c r="BI14" s="65"/>
      <c r="BJ14" s="195">
        <v>0</v>
      </c>
      <c r="BK14" s="65"/>
      <c r="BL14" s="195">
        <v>0</v>
      </c>
      <c r="BM14" s="65"/>
      <c r="BN14" s="195">
        <v>0</v>
      </c>
      <c r="BO14" s="65"/>
      <c r="BP14" s="195">
        <v>0</v>
      </c>
      <c r="BQ14" s="65"/>
      <c r="BR14" s="189"/>
      <c r="BS14" s="67"/>
    </row>
    <row r="15" spans="1:73" x14ac:dyDescent="0.2">
      <c r="C15" s="64" t="s">
        <v>45</v>
      </c>
      <c r="F15" s="53"/>
      <c r="H15" s="54"/>
      <c r="I15" s="8"/>
      <c r="J15" s="54"/>
      <c r="K15" s="53"/>
      <c r="L15" s="54"/>
      <c r="M15" s="55"/>
      <c r="N15" s="55"/>
      <c r="O15" s="55"/>
      <c r="P15" s="55"/>
      <c r="Q15" s="55"/>
      <c r="R15" s="55"/>
      <c r="S15" s="55"/>
      <c r="T15" s="55"/>
      <c r="U15" s="8"/>
      <c r="V15" s="8"/>
      <c r="W15" s="8"/>
      <c r="X15" s="8"/>
      <c r="Y15" s="8"/>
      <c r="Z15" s="68"/>
      <c r="AA15" s="8"/>
      <c r="AB15" s="68"/>
      <c r="AC15" s="68"/>
      <c r="AD15" s="68"/>
      <c r="AE15" s="68"/>
      <c r="AF15" s="69"/>
      <c r="AG15" s="69"/>
      <c r="AH15" s="69"/>
      <c r="AI15" s="8"/>
      <c r="AJ15" s="69"/>
      <c r="AK15" s="70"/>
      <c r="AL15" s="70"/>
      <c r="AM15" s="70"/>
      <c r="AN15" s="70"/>
      <c r="AO15" s="70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8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190"/>
    </row>
    <row r="16" spans="1:73" x14ac:dyDescent="0.2">
      <c r="C16" s="64"/>
      <c r="D16" t="s">
        <v>40</v>
      </c>
      <c r="F16" s="53">
        <v>1807.28</v>
      </c>
      <c r="G16" s="64"/>
      <c r="H16" s="54">
        <v>1846.81</v>
      </c>
      <c r="I16" s="8"/>
      <c r="J16" s="54">
        <v>1952.08</v>
      </c>
      <c r="K16" s="53"/>
      <c r="L16" s="54">
        <f>1887.99+168.92+8.57+40.6</f>
        <v>2106.08</v>
      </c>
      <c r="M16" s="55"/>
      <c r="N16" s="55">
        <v>2024.94</v>
      </c>
      <c r="O16" s="55"/>
      <c r="P16" s="55">
        <v>2020.03</v>
      </c>
      <c r="Q16" s="55"/>
      <c r="R16" s="55">
        <v>2035.21</v>
      </c>
      <c r="S16" s="55"/>
      <c r="T16" s="55">
        <v>2081.02</v>
      </c>
      <c r="U16" s="55"/>
      <c r="V16" s="56">
        <f>2265.48+0.005</f>
        <v>2265.4850000000001</v>
      </c>
      <c r="W16" s="8"/>
      <c r="X16" s="56">
        <f>2265.48+0.005</f>
        <v>2265.4850000000001</v>
      </c>
      <c r="Y16" s="56"/>
      <c r="Z16" s="56">
        <v>2505.36</v>
      </c>
      <c r="AA16" s="8"/>
      <c r="AB16" s="56">
        <v>2607.5500000000002</v>
      </c>
      <c r="AC16" s="56"/>
      <c r="AD16" s="56">
        <v>2712.45</v>
      </c>
      <c r="AE16" s="56"/>
      <c r="AF16" s="57">
        <v>2307.2600000000002</v>
      </c>
      <c r="AG16" s="57"/>
      <c r="AH16" s="57">
        <v>2281.3200000000002</v>
      </c>
      <c r="AI16" s="58"/>
      <c r="AJ16" s="57">
        <v>2530.37</v>
      </c>
      <c r="AK16" s="59"/>
      <c r="AL16" s="59">
        <v>2513.3200000000002</v>
      </c>
      <c r="AM16" s="59"/>
      <c r="AN16" s="59">
        <v>2513.7800000000002</v>
      </c>
      <c r="AO16" s="59"/>
      <c r="AP16" s="57">
        <v>2547.83</v>
      </c>
      <c r="AQ16" s="57"/>
      <c r="AR16" s="57">
        <v>2500.64</v>
      </c>
      <c r="AS16" s="57"/>
      <c r="AT16" s="57">
        <v>2619.92</v>
      </c>
      <c r="AU16" s="57"/>
      <c r="AV16" s="57">
        <v>2620.71</v>
      </c>
      <c r="AW16" s="57"/>
      <c r="AX16" s="57">
        <v>2620.71</v>
      </c>
      <c r="AY16" s="57"/>
      <c r="AZ16" s="57">
        <v>2620.7800000000002</v>
      </c>
      <c r="BA16" s="57"/>
      <c r="BB16" s="57">
        <v>2620.6799999999998</v>
      </c>
      <c r="BC16" s="60"/>
      <c r="BD16" s="57">
        <v>2620.29</v>
      </c>
      <c r="BE16" s="57"/>
      <c r="BF16" s="57">
        <v>2766.12</v>
      </c>
      <c r="BG16" s="57"/>
      <c r="BH16" s="57">
        <v>2709.93</v>
      </c>
      <c r="BI16" s="57"/>
      <c r="BJ16" s="57">
        <v>2551.38</v>
      </c>
      <c r="BK16" s="57"/>
      <c r="BL16" s="57">
        <v>2552.02</v>
      </c>
      <c r="BM16" s="57"/>
      <c r="BN16" s="57">
        <v>2552.02</v>
      </c>
      <c r="BO16" s="57"/>
      <c r="BP16" s="57">
        <v>2405.5300000000002</v>
      </c>
      <c r="BQ16" s="57"/>
      <c r="BR16" s="165" t="s">
        <v>70</v>
      </c>
      <c r="BS16" s="61"/>
    </row>
    <row r="17" spans="2:71" x14ac:dyDescent="0.2">
      <c r="C17" s="62"/>
      <c r="D17" t="s">
        <v>42</v>
      </c>
      <c r="F17" s="53">
        <v>50.4</v>
      </c>
      <c r="H17" s="54">
        <v>42.57</v>
      </c>
      <c r="I17" s="8"/>
      <c r="J17" s="54">
        <v>74.89</v>
      </c>
      <c r="K17" s="53"/>
      <c r="L17" s="54">
        <v>79.34</v>
      </c>
      <c r="M17" s="55"/>
      <c r="N17" s="55">
        <v>102.43</v>
      </c>
      <c r="O17" s="55"/>
      <c r="P17" s="55">
        <v>68.33</v>
      </c>
      <c r="Q17" s="55"/>
      <c r="R17" s="55">
        <v>56.28</v>
      </c>
      <c r="S17" s="55"/>
      <c r="T17" s="55">
        <v>55.09</v>
      </c>
      <c r="U17" s="55"/>
      <c r="V17" s="56">
        <f>53.62+3.35</f>
        <v>56.97</v>
      </c>
      <c r="W17" s="8"/>
      <c r="X17" s="56">
        <f>53.62+3.35</f>
        <v>56.97</v>
      </c>
      <c r="Y17" s="56"/>
      <c r="Z17" s="56">
        <f>66.69+0.01</f>
        <v>66.7</v>
      </c>
      <c r="AA17" s="8"/>
      <c r="AB17" s="56">
        <v>67.599999999999994</v>
      </c>
      <c r="AC17" s="56"/>
      <c r="AD17" s="56">
        <v>89.5</v>
      </c>
      <c r="AE17" s="56"/>
      <c r="AF17" s="57">
        <v>58.42</v>
      </c>
      <c r="AG17" s="57"/>
      <c r="AH17" s="57">
        <v>54.14</v>
      </c>
      <c r="AI17" s="8"/>
      <c r="AJ17" s="57">
        <v>171.91</v>
      </c>
      <c r="AK17" s="59"/>
      <c r="AL17" s="59">
        <v>57.72</v>
      </c>
      <c r="AM17" s="59"/>
      <c r="AN17" s="59">
        <v>57.94</v>
      </c>
      <c r="AO17" s="59"/>
      <c r="AP17" s="57">
        <v>57.94</v>
      </c>
      <c r="AQ17" s="57"/>
      <c r="AR17" s="57">
        <v>58.36</v>
      </c>
      <c r="AS17" s="57"/>
      <c r="AT17" s="57">
        <v>57.98</v>
      </c>
      <c r="AU17" s="57"/>
      <c r="AV17" s="57">
        <v>58.02</v>
      </c>
      <c r="AW17" s="57"/>
      <c r="AX17" s="57">
        <v>58.02</v>
      </c>
      <c r="AY17" s="57"/>
      <c r="AZ17" s="57">
        <v>58.02</v>
      </c>
      <c r="BA17" s="57"/>
      <c r="BB17" s="57">
        <v>58.02</v>
      </c>
      <c r="BC17" s="8"/>
      <c r="BD17" s="57">
        <v>58.15</v>
      </c>
      <c r="BE17" s="57"/>
      <c r="BF17" s="57">
        <v>36.75</v>
      </c>
      <c r="BG17" s="57"/>
      <c r="BH17" s="57">
        <v>16.88</v>
      </c>
      <c r="BI17" s="57"/>
      <c r="BJ17" s="57">
        <v>31.1</v>
      </c>
      <c r="BK17" s="57"/>
      <c r="BL17" s="57">
        <v>31.77</v>
      </c>
      <c r="BM17" s="57"/>
      <c r="BN17" s="57">
        <v>31.77</v>
      </c>
      <c r="BO17" s="57"/>
      <c r="BP17" s="57">
        <v>17.3</v>
      </c>
      <c r="BQ17" s="57"/>
      <c r="BR17" s="165" t="s">
        <v>70</v>
      </c>
      <c r="BS17" s="61"/>
    </row>
    <row r="18" spans="2:71" x14ac:dyDescent="0.2">
      <c r="C18" s="64"/>
      <c r="D18" t="s">
        <v>43</v>
      </c>
      <c r="F18" s="53">
        <v>144.68</v>
      </c>
      <c r="H18" s="54">
        <v>193.5</v>
      </c>
      <c r="I18" s="8"/>
      <c r="J18" s="54">
        <v>246.58</v>
      </c>
      <c r="K18" s="53"/>
      <c r="L18" s="54">
        <v>270.85000000000002</v>
      </c>
      <c r="M18" s="55"/>
      <c r="N18" s="55">
        <v>334.14</v>
      </c>
      <c r="O18" s="55"/>
      <c r="P18" s="55">
        <v>354.2</v>
      </c>
      <c r="Q18" s="55"/>
      <c r="R18" s="55">
        <v>311.62</v>
      </c>
      <c r="S18" s="55"/>
      <c r="T18" s="55">
        <v>236.61</v>
      </c>
      <c r="U18" s="55"/>
      <c r="V18" s="56">
        <f>301.57+17.33</f>
        <v>318.89999999999998</v>
      </c>
      <c r="W18" s="8"/>
      <c r="X18" s="56">
        <f>301.57+17.33</f>
        <v>318.89999999999998</v>
      </c>
      <c r="Y18" s="56"/>
      <c r="Z18" s="56">
        <f>55.86+207.01</f>
        <v>262.87</v>
      </c>
      <c r="AA18" s="8"/>
      <c r="AB18" s="56">
        <v>227.81</v>
      </c>
      <c r="AC18" s="56"/>
      <c r="AD18" s="56">
        <v>98.85</v>
      </c>
      <c r="AE18" s="56"/>
      <c r="AF18" s="57">
        <v>15.84</v>
      </c>
      <c r="AG18" s="57"/>
      <c r="AH18" s="57">
        <v>26.47</v>
      </c>
      <c r="AI18" s="8"/>
      <c r="AJ18" s="57">
        <v>60</v>
      </c>
      <c r="AK18" s="59"/>
      <c r="AL18" s="59">
        <v>35.36</v>
      </c>
      <c r="AM18" s="59"/>
      <c r="AN18" s="59">
        <v>38.58</v>
      </c>
      <c r="AO18" s="59"/>
      <c r="AP18" s="57">
        <v>39.07</v>
      </c>
      <c r="AQ18" s="57"/>
      <c r="AR18" s="57">
        <v>28.95</v>
      </c>
      <c r="AS18" s="57"/>
      <c r="AT18" s="57">
        <v>0</v>
      </c>
      <c r="AU18" s="57"/>
      <c r="AV18" s="57">
        <v>0</v>
      </c>
      <c r="AW18" s="57"/>
      <c r="AX18" s="57">
        <v>0</v>
      </c>
      <c r="AY18" s="57"/>
      <c r="AZ18" s="57">
        <v>0</v>
      </c>
      <c r="BA18" s="57"/>
      <c r="BB18" s="57">
        <v>0</v>
      </c>
      <c r="BC18" s="8"/>
      <c r="BD18" s="57">
        <v>0</v>
      </c>
      <c r="BE18" s="57"/>
      <c r="BF18" s="57">
        <v>0</v>
      </c>
      <c r="BG18" s="57"/>
      <c r="BH18" s="57">
        <v>0</v>
      </c>
      <c r="BI18" s="57"/>
      <c r="BJ18" s="57">
        <v>0</v>
      </c>
      <c r="BK18" s="57"/>
      <c r="BL18" s="57">
        <v>0</v>
      </c>
      <c r="BM18" s="57"/>
      <c r="BN18" s="57">
        <v>0</v>
      </c>
      <c r="BO18" s="57"/>
      <c r="BP18" s="57">
        <v>0</v>
      </c>
      <c r="BQ18" s="57"/>
      <c r="BR18" s="165" t="s">
        <v>70</v>
      </c>
      <c r="BS18" s="61"/>
    </row>
    <row r="19" spans="2:71" x14ac:dyDescent="0.2">
      <c r="C19" s="64" t="s">
        <v>46</v>
      </c>
      <c r="F19" s="53"/>
      <c r="H19" s="54"/>
      <c r="I19" s="8"/>
      <c r="J19" s="54"/>
      <c r="K19" s="53"/>
      <c r="L19" s="71"/>
      <c r="M19" s="55"/>
      <c r="N19" s="71"/>
      <c r="O19" s="55"/>
      <c r="P19" s="71"/>
      <c r="Q19" s="55"/>
      <c r="R19" s="55"/>
      <c r="S19" s="55"/>
      <c r="T19" s="55"/>
      <c r="U19" s="55"/>
      <c r="V19" s="56"/>
      <c r="W19" s="8"/>
      <c r="X19" s="56"/>
      <c r="Y19" s="56"/>
      <c r="Z19" s="56"/>
      <c r="AA19" s="68"/>
      <c r="AB19" s="56"/>
      <c r="AC19" s="56"/>
      <c r="AD19" s="56"/>
      <c r="AE19" s="56"/>
      <c r="AF19" s="57"/>
      <c r="AG19" s="57"/>
      <c r="AH19" s="57"/>
      <c r="AI19" s="68"/>
      <c r="AJ19" s="57"/>
      <c r="AK19" s="59"/>
      <c r="AL19" s="59"/>
      <c r="AM19" s="59"/>
      <c r="AN19" s="59"/>
      <c r="AO19" s="59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68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165"/>
      <c r="BS19" s="61"/>
    </row>
    <row r="20" spans="2:71" x14ac:dyDescent="0.2">
      <c r="C20" s="64"/>
      <c r="D20" t="s">
        <v>40</v>
      </c>
      <c r="F20" s="72">
        <v>1815.09</v>
      </c>
      <c r="G20" s="73"/>
      <c r="H20" s="72">
        <v>1838.99</v>
      </c>
      <c r="I20" s="74"/>
      <c r="J20" s="72">
        <v>1994.68</v>
      </c>
      <c r="K20" s="72"/>
      <c r="L20" s="72">
        <v>2051.08</v>
      </c>
      <c r="M20" s="75"/>
      <c r="N20" s="75">
        <v>2026.54</v>
      </c>
      <c r="O20" s="75"/>
      <c r="P20" s="75">
        <v>2063.08</v>
      </c>
      <c r="Q20" s="75"/>
      <c r="R20" s="75">
        <v>2017.02</v>
      </c>
      <c r="S20" s="75"/>
      <c r="T20" s="75">
        <v>2107.7800000000002</v>
      </c>
      <c r="U20" s="75"/>
      <c r="V20" s="76">
        <v>2374.66</v>
      </c>
      <c r="W20" s="8"/>
      <c r="X20" s="76">
        <v>2374.66</v>
      </c>
      <c r="Y20" s="76"/>
      <c r="Z20" s="76">
        <v>2652.71</v>
      </c>
      <c r="AA20" s="8"/>
      <c r="AB20" s="76">
        <v>2716.3</v>
      </c>
      <c r="AC20" s="76"/>
      <c r="AD20" s="76">
        <v>2704.3</v>
      </c>
      <c r="AE20" s="76"/>
      <c r="AF20" s="77">
        <v>2652.67</v>
      </c>
      <c r="AG20" s="77"/>
      <c r="AH20" s="77">
        <v>2467.54</v>
      </c>
      <c r="AI20" s="78"/>
      <c r="AJ20" s="77"/>
      <c r="AK20" s="79"/>
      <c r="AL20" s="79">
        <f>AL16</f>
        <v>2513.3200000000002</v>
      </c>
      <c r="AM20" s="79"/>
      <c r="AN20" s="79">
        <v>2552.56</v>
      </c>
      <c r="AO20" s="79"/>
      <c r="AP20" s="77">
        <v>2560.31</v>
      </c>
      <c r="AQ20" s="77"/>
      <c r="AR20" s="57">
        <v>2522.87</v>
      </c>
      <c r="AS20" s="77"/>
      <c r="AT20" s="57">
        <v>2619.92</v>
      </c>
      <c r="AU20" s="77"/>
      <c r="AV20" s="57">
        <v>2726.18</v>
      </c>
      <c r="AW20" s="77"/>
      <c r="AX20" s="57">
        <v>2732.81</v>
      </c>
      <c r="AY20" s="77"/>
      <c r="AZ20" s="57">
        <v>2740.84</v>
      </c>
      <c r="BA20" s="77"/>
      <c r="BB20" s="57">
        <v>2732.56</v>
      </c>
      <c r="BC20" s="60"/>
      <c r="BD20" s="57">
        <v>2732.98</v>
      </c>
      <c r="BE20" s="77"/>
      <c r="BF20" s="57">
        <v>2744.64</v>
      </c>
      <c r="BG20" s="77"/>
      <c r="BH20" s="57">
        <v>2644.8</v>
      </c>
      <c r="BI20" s="77"/>
      <c r="BJ20" s="57">
        <f>2525-0.28</f>
        <v>2524.7199999999998</v>
      </c>
      <c r="BK20" s="57"/>
      <c r="BL20" s="57">
        <f>2487.21</f>
        <v>2487.21</v>
      </c>
      <c r="BM20" s="77"/>
      <c r="BN20" s="57">
        <f>2465.25-0.01</f>
        <v>2465.2399999999998</v>
      </c>
      <c r="BO20" s="77"/>
      <c r="BP20" s="57">
        <f>(2718.72*0.96)-17.3</f>
        <v>2592.6711999999993</v>
      </c>
      <c r="BQ20" s="77"/>
      <c r="BR20" s="165" t="s">
        <v>71</v>
      </c>
      <c r="BS20" s="61"/>
    </row>
    <row r="21" spans="2:71" x14ac:dyDescent="0.2">
      <c r="C21" s="62"/>
      <c r="D21" t="s">
        <v>42</v>
      </c>
      <c r="F21" s="53">
        <v>44.03</v>
      </c>
      <c r="H21" s="54">
        <v>49.72</v>
      </c>
      <c r="I21" s="8"/>
      <c r="J21" s="54">
        <v>89.01</v>
      </c>
      <c r="K21" s="53"/>
      <c r="L21" s="54">
        <v>84.83</v>
      </c>
      <c r="M21" s="55"/>
      <c r="N21" s="55">
        <v>89.95</v>
      </c>
      <c r="O21" s="55"/>
      <c r="P21" s="55">
        <v>72.06</v>
      </c>
      <c r="Q21" s="55"/>
      <c r="R21" s="55">
        <v>59.76</v>
      </c>
      <c r="S21" s="55"/>
      <c r="T21" s="55">
        <v>63.06</v>
      </c>
      <c r="U21" s="55"/>
      <c r="V21" s="56">
        <v>69.58</v>
      </c>
      <c r="W21" s="8"/>
      <c r="X21" s="56">
        <v>69.58</v>
      </c>
      <c r="Y21" s="56"/>
      <c r="Z21" s="56">
        <v>69.16</v>
      </c>
      <c r="AA21" s="8"/>
      <c r="AB21" s="76">
        <v>83.01</v>
      </c>
      <c r="AC21" s="76"/>
      <c r="AD21" s="76">
        <v>96.25</v>
      </c>
      <c r="AE21" s="76"/>
      <c r="AF21" s="77">
        <v>70.599999999999994</v>
      </c>
      <c r="AG21" s="77"/>
      <c r="AH21" s="77">
        <v>62.04</v>
      </c>
      <c r="AI21" s="8"/>
      <c r="AJ21" s="77"/>
      <c r="AK21" s="79"/>
      <c r="AL21" s="79">
        <f>AL17</f>
        <v>57.72</v>
      </c>
      <c r="AM21" s="79"/>
      <c r="AN21" s="79">
        <f>AN17</f>
        <v>57.94</v>
      </c>
      <c r="AO21" s="79"/>
      <c r="AP21" s="77">
        <v>70.680000000000007</v>
      </c>
      <c r="AQ21" s="77"/>
      <c r="AR21" s="57">
        <v>73.09</v>
      </c>
      <c r="AS21" s="77"/>
      <c r="AT21" s="57">
        <v>57.98</v>
      </c>
      <c r="AU21" s="77"/>
      <c r="AV21" s="57">
        <v>20</v>
      </c>
      <c r="AW21" s="77"/>
      <c r="AX21" s="57">
        <f>20+0.02</f>
        <v>20.02</v>
      </c>
      <c r="AY21" s="77"/>
      <c r="AZ21" s="57">
        <v>20</v>
      </c>
      <c r="BA21" s="77"/>
      <c r="BB21" s="57">
        <v>20.170000000000002</v>
      </c>
      <c r="BC21" s="8"/>
      <c r="BD21" s="57">
        <v>20.170000000000002</v>
      </c>
      <c r="BE21" s="77"/>
      <c r="BF21" s="57">
        <v>31.91</v>
      </c>
      <c r="BG21" s="77"/>
      <c r="BH21" s="57">
        <v>23.42</v>
      </c>
      <c r="BI21" s="77"/>
      <c r="BJ21" s="57">
        <f>BJ17</f>
        <v>31.1</v>
      </c>
      <c r="BK21" s="57"/>
      <c r="BL21" s="57">
        <v>31.76</v>
      </c>
      <c r="BM21" s="77"/>
      <c r="BN21" s="57">
        <v>38.369999999999997</v>
      </c>
      <c r="BO21" s="77"/>
      <c r="BP21" s="57">
        <f>BP17</f>
        <v>17.3</v>
      </c>
      <c r="BQ21" s="77"/>
      <c r="BR21" s="165" t="s">
        <v>71</v>
      </c>
      <c r="BS21" s="61"/>
    </row>
    <row r="22" spans="2:71" x14ac:dyDescent="0.2">
      <c r="C22" s="64"/>
      <c r="D22" t="s">
        <v>43</v>
      </c>
      <c r="F22" s="53">
        <v>230</v>
      </c>
      <c r="H22" s="54">
        <v>285.8</v>
      </c>
      <c r="I22" s="8"/>
      <c r="J22" s="54">
        <v>338.14</v>
      </c>
      <c r="K22" s="53"/>
      <c r="L22" s="54">
        <v>361.61</v>
      </c>
      <c r="M22" s="55"/>
      <c r="N22" s="55">
        <v>405.05</v>
      </c>
      <c r="O22" s="55"/>
      <c r="P22" s="55">
        <v>483.49</v>
      </c>
      <c r="Q22" s="55"/>
      <c r="R22" s="55">
        <v>379.94</v>
      </c>
      <c r="S22" s="55"/>
      <c r="T22" s="55">
        <v>343.58</v>
      </c>
      <c r="U22" s="55"/>
      <c r="V22" s="56">
        <v>343.01</v>
      </c>
      <c r="W22" s="8"/>
      <c r="X22" s="56">
        <v>343.01</v>
      </c>
      <c r="Y22" s="56"/>
      <c r="Z22" s="56">
        <v>386.59</v>
      </c>
      <c r="AA22" s="8"/>
      <c r="AB22" s="76">
        <v>83.98</v>
      </c>
      <c r="AC22" s="76"/>
      <c r="AD22" s="76">
        <v>94.15</v>
      </c>
      <c r="AE22" s="76"/>
      <c r="AF22" s="77">
        <v>28.23</v>
      </c>
      <c r="AG22" s="77"/>
      <c r="AH22" s="77">
        <v>29.62</v>
      </c>
      <c r="AI22" s="8"/>
      <c r="AJ22" s="77"/>
      <c r="AK22" s="79"/>
      <c r="AL22" s="79">
        <f>AL18</f>
        <v>35.36</v>
      </c>
      <c r="AM22" s="79"/>
      <c r="AN22" s="79">
        <f>AN18</f>
        <v>38.58</v>
      </c>
      <c r="AO22" s="79"/>
      <c r="AP22" s="77">
        <v>37.51</v>
      </c>
      <c r="AQ22" s="77"/>
      <c r="AR22" s="57">
        <v>4.0599999999999996</v>
      </c>
      <c r="AS22" s="77"/>
      <c r="AT22" s="57">
        <v>0</v>
      </c>
      <c r="AU22" s="77"/>
      <c r="AV22" s="57">
        <v>0</v>
      </c>
      <c r="AW22" s="77"/>
      <c r="AX22" s="57">
        <v>0</v>
      </c>
      <c r="AY22" s="77"/>
      <c r="AZ22" s="57">
        <v>0</v>
      </c>
      <c r="BA22" s="77"/>
      <c r="BB22" s="57">
        <v>0</v>
      </c>
      <c r="BC22" s="8"/>
      <c r="BD22" s="57">
        <v>0</v>
      </c>
      <c r="BE22" s="77"/>
      <c r="BF22" s="57">
        <v>0</v>
      </c>
      <c r="BG22" s="77"/>
      <c r="BH22" s="57">
        <v>0</v>
      </c>
      <c r="BI22" s="77"/>
      <c r="BJ22" s="57">
        <f>BJ18</f>
        <v>0</v>
      </c>
      <c r="BK22" s="57"/>
      <c r="BL22" s="57">
        <v>0</v>
      </c>
      <c r="BM22" s="77"/>
      <c r="BN22" s="57">
        <v>0</v>
      </c>
      <c r="BO22" s="77"/>
      <c r="BP22" s="57">
        <v>0</v>
      </c>
      <c r="BQ22" s="77"/>
      <c r="BR22" s="165"/>
      <c r="BS22" s="61"/>
    </row>
    <row r="23" spans="2:71" ht="13.5" thickBot="1" x14ac:dyDescent="0.25">
      <c r="C23" s="64" t="s">
        <v>47</v>
      </c>
      <c r="F23" s="80">
        <v>0</v>
      </c>
      <c r="G23" s="81"/>
      <c r="H23" s="82">
        <v>0</v>
      </c>
      <c r="I23" s="83"/>
      <c r="J23" s="82">
        <v>0</v>
      </c>
      <c r="L23" s="82">
        <v>32.299999999999997</v>
      </c>
      <c r="M23" s="84"/>
      <c r="N23" s="85">
        <v>23.84</v>
      </c>
      <c r="O23" s="84"/>
      <c r="P23" s="84">
        <v>0</v>
      </c>
      <c r="Q23" s="84"/>
      <c r="R23" s="84">
        <v>0.42</v>
      </c>
      <c r="S23" s="84"/>
      <c r="T23" s="84">
        <v>2.99</v>
      </c>
      <c r="U23" s="84"/>
      <c r="V23" s="86">
        <v>0.28999999999999998</v>
      </c>
      <c r="W23" s="8"/>
      <c r="X23" s="86">
        <v>0.28999999999999998</v>
      </c>
      <c r="Y23" s="86"/>
      <c r="Z23" s="86">
        <v>4.1100000000000003</v>
      </c>
      <c r="AA23" s="8"/>
      <c r="AB23" s="63">
        <v>0</v>
      </c>
      <c r="AC23" s="76"/>
      <c r="AD23" s="63">
        <v>0</v>
      </c>
      <c r="AE23" s="76"/>
      <c r="AF23" s="77">
        <v>0.3</v>
      </c>
      <c r="AG23" s="77"/>
      <c r="AH23" s="63">
        <v>0</v>
      </c>
      <c r="AI23" s="8"/>
      <c r="AJ23" s="77"/>
      <c r="AK23" s="79"/>
      <c r="AL23" s="79"/>
      <c r="AM23" s="79"/>
      <c r="AN23" s="63">
        <v>0</v>
      </c>
      <c r="AO23" s="63"/>
      <c r="AP23" s="63">
        <v>0.52</v>
      </c>
      <c r="AQ23" s="63"/>
      <c r="AR23" s="90">
        <v>0</v>
      </c>
      <c r="AS23" s="63"/>
      <c r="AT23" s="63">
        <v>0</v>
      </c>
      <c r="AU23" s="63"/>
      <c r="AV23" s="63">
        <v>0</v>
      </c>
      <c r="AW23" s="63"/>
      <c r="AX23" s="63">
        <v>0</v>
      </c>
      <c r="AY23" s="63"/>
      <c r="AZ23" s="63">
        <v>0</v>
      </c>
      <c r="BA23" s="63"/>
      <c r="BB23" s="63">
        <v>0</v>
      </c>
      <c r="BC23" s="87"/>
      <c r="BD23" s="90">
        <v>0</v>
      </c>
      <c r="BE23" s="63"/>
      <c r="BF23" s="90">
        <v>0</v>
      </c>
      <c r="BG23" s="63"/>
      <c r="BH23" s="63">
        <v>2.79</v>
      </c>
      <c r="BI23" s="63"/>
      <c r="BJ23" s="63">
        <v>3</v>
      </c>
      <c r="BK23" s="63"/>
      <c r="BL23" s="63">
        <v>3</v>
      </c>
      <c r="BM23" s="63"/>
      <c r="BN23" s="57">
        <v>0</v>
      </c>
      <c r="BO23" s="63"/>
      <c r="BP23" s="57">
        <v>0</v>
      </c>
      <c r="BQ23" s="63"/>
      <c r="BR23" s="167"/>
      <c r="BS23" s="88"/>
    </row>
    <row r="24" spans="2:71" x14ac:dyDescent="0.2">
      <c r="C24" s="64" t="s">
        <v>59</v>
      </c>
      <c r="F24" s="81"/>
      <c r="G24" s="81"/>
      <c r="H24" s="89"/>
      <c r="I24" s="83"/>
      <c r="J24" s="89"/>
      <c r="L24" s="89"/>
      <c r="M24" s="84"/>
      <c r="N24" s="84"/>
      <c r="O24" s="84"/>
      <c r="P24" s="84">
        <v>39.29</v>
      </c>
      <c r="Q24" s="84"/>
      <c r="R24" s="84">
        <v>0</v>
      </c>
      <c r="S24" s="84"/>
      <c r="T24" s="84">
        <v>233.53</v>
      </c>
      <c r="U24" s="84"/>
      <c r="V24" s="86">
        <v>0</v>
      </c>
      <c r="W24" s="8"/>
      <c r="X24" s="86">
        <v>0</v>
      </c>
      <c r="Y24" s="86"/>
      <c r="Z24" s="86"/>
      <c r="AA24" s="8"/>
      <c r="AB24" s="86"/>
      <c r="AC24" s="86"/>
      <c r="AD24" s="86"/>
      <c r="AE24" s="86"/>
      <c r="AF24" s="90"/>
      <c r="AG24" s="90"/>
      <c r="AH24" s="90">
        <f>110.51+2.17</f>
        <v>112.68</v>
      </c>
      <c r="AI24" s="8"/>
      <c r="AJ24" s="90"/>
      <c r="AK24" s="91"/>
      <c r="AL24" s="91"/>
      <c r="AM24" s="91"/>
      <c r="AN24" s="91"/>
      <c r="AO24" s="91"/>
      <c r="AP24" s="90"/>
      <c r="AQ24" s="90"/>
      <c r="AR24" s="90">
        <v>45.6</v>
      </c>
      <c r="AS24" s="90"/>
      <c r="AT24" s="63">
        <v>82.91</v>
      </c>
      <c r="AU24" s="90"/>
      <c r="AV24" s="63">
        <f>5713.7-SUM(AV11:AV23)</f>
        <v>13.789999999999964</v>
      </c>
      <c r="AW24" s="90"/>
      <c r="AX24" s="63">
        <f>5713.7-SUM(AX11:AX23)</f>
        <v>7.1399999999994179</v>
      </c>
      <c r="AY24" s="90"/>
      <c r="AZ24" s="63">
        <f>IF(SUM(AZ11:AZ23)&gt;5709.12,0,5709.12-SUM(AZ11:AZ23))</f>
        <v>0</v>
      </c>
      <c r="BA24" s="90"/>
      <c r="BB24" s="63">
        <f>IF(SUM(BB11:BB23)&gt;5708.47,0,5708.47-SUM(BB11:BB23))</f>
        <v>2.0399999999999636</v>
      </c>
      <c r="BC24" s="87"/>
      <c r="BD24" s="63">
        <f>IF(SUM(BD11:BD23)&gt;5708.47,0,5708.47-SUM(BD11:BD23))-0.02</f>
        <v>1.8600000000001091</v>
      </c>
      <c r="BE24" s="90"/>
      <c r="BF24" s="63">
        <v>116.27</v>
      </c>
      <c r="BG24" s="90"/>
      <c r="BH24" s="90">
        <v>0</v>
      </c>
      <c r="BI24" s="90"/>
      <c r="BJ24" s="90">
        <v>0</v>
      </c>
      <c r="BK24" s="90"/>
      <c r="BL24" s="90">
        <v>0</v>
      </c>
      <c r="BM24" s="90"/>
      <c r="BN24" s="90">
        <v>0</v>
      </c>
      <c r="BO24" s="90"/>
      <c r="BP24" s="90">
        <v>0</v>
      </c>
      <c r="BQ24" s="90"/>
      <c r="BR24" s="165"/>
      <c r="BS24" s="88"/>
    </row>
    <row r="25" spans="2:71" ht="13.5" thickBot="1" x14ac:dyDescent="0.25">
      <c r="C25" s="211" t="s">
        <v>64</v>
      </c>
      <c r="D25" s="211"/>
      <c r="F25" s="81"/>
      <c r="G25" s="81"/>
      <c r="H25" s="89"/>
      <c r="I25" s="83"/>
      <c r="J25" s="89"/>
      <c r="L25" s="89"/>
      <c r="M25" s="84"/>
      <c r="N25" s="84"/>
      <c r="O25" s="84"/>
      <c r="P25" s="84"/>
      <c r="Q25" s="84"/>
      <c r="R25" s="84"/>
      <c r="S25" s="84"/>
      <c r="T25" s="84"/>
      <c r="U25" s="84"/>
      <c r="V25" s="86"/>
      <c r="W25" s="8"/>
      <c r="X25" s="86"/>
      <c r="Y25" s="86"/>
      <c r="Z25" s="86"/>
      <c r="AA25" s="8"/>
      <c r="AB25" s="86"/>
      <c r="AC25" s="86"/>
      <c r="AD25" s="86"/>
      <c r="AE25" s="86"/>
      <c r="AF25" s="90"/>
      <c r="AG25" s="90"/>
      <c r="AH25" s="90"/>
      <c r="AI25" s="8"/>
      <c r="AJ25" s="90"/>
      <c r="AK25" s="91"/>
      <c r="AL25" s="91"/>
      <c r="AM25" s="91"/>
      <c r="AN25" s="91"/>
      <c r="AO25" s="91"/>
      <c r="AP25" s="90"/>
      <c r="AQ25" s="90"/>
      <c r="AR25" s="90"/>
      <c r="AS25" s="90"/>
      <c r="AT25" s="63"/>
      <c r="AU25" s="90"/>
      <c r="AV25" s="63"/>
      <c r="AW25" s="90"/>
      <c r="AX25" s="63"/>
      <c r="AY25" s="90"/>
      <c r="AZ25" s="63"/>
      <c r="BA25" s="90"/>
      <c r="BB25" s="63">
        <v>87.11</v>
      </c>
      <c r="BC25" s="87"/>
      <c r="BD25" s="63">
        <v>2.31</v>
      </c>
      <c r="BE25" s="90"/>
      <c r="BF25" s="192">
        <v>213.92</v>
      </c>
      <c r="BG25" s="90"/>
      <c r="BH25" s="192">
        <v>213.92</v>
      </c>
      <c r="BI25" s="90"/>
      <c r="BJ25" s="63"/>
      <c r="BK25" s="63"/>
      <c r="BL25" s="63"/>
      <c r="BM25" s="90"/>
      <c r="BN25" s="90">
        <v>0</v>
      </c>
      <c r="BO25" s="90"/>
      <c r="BP25" s="90">
        <v>0</v>
      </c>
      <c r="BQ25" s="90"/>
      <c r="BR25" s="167"/>
      <c r="BS25" s="88"/>
    </row>
    <row r="26" spans="2:71" s="13" customFormat="1" ht="18" customHeight="1" x14ac:dyDescent="0.2">
      <c r="C26" s="161"/>
      <c r="D26" s="13" t="s">
        <v>48</v>
      </c>
      <c r="F26" s="84">
        <f>SUM(F11:F23)</f>
        <v>4408.7999999999993</v>
      </c>
      <c r="G26" s="93"/>
      <c r="H26" s="84">
        <f>ROUND(SUM(H11:H23),2)</f>
        <v>4600.62</v>
      </c>
      <c r="I26" s="94"/>
      <c r="J26" s="84">
        <f>ROUND(SUM(J11:J23),2)</f>
        <v>5009.16</v>
      </c>
      <c r="L26" s="84">
        <f>SUM(L11:L23)-L19</f>
        <v>5342.73</v>
      </c>
      <c r="M26" s="84"/>
      <c r="N26" s="84">
        <f>SUM(N11:N23)-N19</f>
        <v>5354.91</v>
      </c>
      <c r="O26" s="84"/>
      <c r="P26" s="205">
        <f>SUM(P11:P24)-P19</f>
        <v>5422.25</v>
      </c>
      <c r="Q26" s="84"/>
      <c r="R26" s="205">
        <f>SUM(R11:R24)-R19</f>
        <v>5187.5600000000004</v>
      </c>
      <c r="S26" s="84"/>
      <c r="T26" s="205">
        <f>SUM(T11:T24)</f>
        <v>5498.5</v>
      </c>
      <c r="U26" s="84"/>
      <c r="V26" s="206">
        <f>SUM(V11:V24)</f>
        <v>5648.915</v>
      </c>
      <c r="W26" s="95"/>
      <c r="X26" s="206">
        <f>SUM(X11:X24)</f>
        <v>5882.4450000000006</v>
      </c>
      <c r="Y26" s="86"/>
      <c r="Z26" s="206">
        <f>SUM(Z11:Z24)</f>
        <v>6429.3899999999994</v>
      </c>
      <c r="AA26" s="95"/>
      <c r="AB26" s="206">
        <f>SUM(AB11:AB24)</f>
        <v>6348.17</v>
      </c>
      <c r="AC26" s="86"/>
      <c r="AD26" s="206">
        <f>SUM(AD11:AD24)</f>
        <v>6086.7899999999991</v>
      </c>
      <c r="AE26" s="86"/>
      <c r="AF26" s="207">
        <f>SUM(AF11:AF24)</f>
        <v>5265.1000000000013</v>
      </c>
      <c r="AG26" s="90"/>
      <c r="AH26" s="207">
        <f>SUM(AH11:AH24)</f>
        <v>5186.9699999999993</v>
      </c>
      <c r="AI26" s="95"/>
      <c r="AJ26" s="207">
        <f>SUM(AJ11:AJ24)</f>
        <v>3020.2799999999997</v>
      </c>
      <c r="AK26" s="91"/>
      <c r="AL26" s="208">
        <f>SUM(AL11:AL24)</f>
        <v>5471.1100000000006</v>
      </c>
      <c r="AM26" s="91"/>
      <c r="AN26" s="208">
        <f>SUM(AN11:AN24)</f>
        <v>5518.2</v>
      </c>
      <c r="AO26" s="91"/>
      <c r="AP26" s="207">
        <f>SUM(AP11:AP24)</f>
        <v>5572.6800000000012</v>
      </c>
      <c r="AQ26" s="90"/>
      <c r="AR26" s="207">
        <f>SUM(AR11:AR24)</f>
        <v>5543.2500000000009</v>
      </c>
      <c r="AS26" s="90"/>
      <c r="AT26" s="207">
        <f>SUM(AT11:AT24)</f>
        <v>5713.6999999999989</v>
      </c>
      <c r="AU26" s="90"/>
      <c r="AV26" s="207">
        <f>SUM(AV11:AV24)</f>
        <v>5713.7</v>
      </c>
      <c r="AW26" s="90"/>
      <c r="AX26" s="207">
        <f>SUM(AX11:AX24)</f>
        <v>5713.7</v>
      </c>
      <c r="AY26" s="90"/>
      <c r="AZ26" s="207">
        <f>SUM(AZ11:AZ24)</f>
        <v>5714.64</v>
      </c>
      <c r="BA26" s="90"/>
      <c r="BB26" s="207">
        <f>SUM(BB11:BB25)</f>
        <v>5795.58</v>
      </c>
      <c r="BD26" s="207">
        <f>SUM(BD11:BD25)</f>
        <v>5710.76</v>
      </c>
      <c r="BE26" s="90"/>
      <c r="BF26" s="207">
        <f>SUM(BF11:BF25)</f>
        <v>6289.4</v>
      </c>
      <c r="BG26" s="90"/>
      <c r="BH26" s="207">
        <f>SUM(BH11:BH25)</f>
        <v>5660.68</v>
      </c>
      <c r="BI26" s="90"/>
      <c r="BJ26" s="207">
        <f>SUM(BJ11:BJ25)</f>
        <v>5492.3600000000006</v>
      </c>
      <c r="BK26" s="90"/>
      <c r="BL26" s="207">
        <f>SUM(BL11:BL25)</f>
        <v>5456.82</v>
      </c>
      <c r="BM26" s="90"/>
      <c r="BN26" s="207">
        <f>SUM(BN11:BN25)</f>
        <v>5438.46</v>
      </c>
      <c r="BO26" s="90"/>
      <c r="BP26" s="207">
        <f>SUM(BP11:BP25)</f>
        <v>5398.5412000000006</v>
      </c>
      <c r="BQ26" s="90"/>
      <c r="BS26" s="97"/>
    </row>
    <row r="27" spans="2:71" ht="4.5" customHeight="1" x14ac:dyDescent="0.2">
      <c r="C27" s="64"/>
      <c r="F27" s="84"/>
      <c r="G27" s="93"/>
      <c r="H27" s="84"/>
      <c r="I27" s="94"/>
      <c r="J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6"/>
      <c r="W27" s="95"/>
      <c r="X27" s="86"/>
      <c r="Y27" s="86"/>
      <c r="Z27" s="86"/>
      <c r="AA27" s="95"/>
      <c r="AB27" s="86"/>
      <c r="AC27" s="86"/>
      <c r="AD27" s="86"/>
      <c r="AE27" s="86"/>
      <c r="AF27" s="90"/>
      <c r="AG27" s="90"/>
      <c r="AH27" s="90"/>
      <c r="AI27" s="95"/>
      <c r="AJ27" s="90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5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8"/>
      <c r="BS27" s="98"/>
    </row>
    <row r="28" spans="2:71" ht="15" hidden="1" customHeight="1" x14ac:dyDescent="0.2">
      <c r="C28" s="64"/>
      <c r="D28" s="99" t="s">
        <v>49</v>
      </c>
      <c r="E28" s="100"/>
      <c r="F28" s="101">
        <f>ROUND((F20/F16),4)</f>
        <v>1.0043</v>
      </c>
      <c r="G28" s="100"/>
      <c r="H28" s="101">
        <f xml:space="preserve"> ROUND((H20/H16),4)</f>
        <v>0.99580000000000002</v>
      </c>
      <c r="I28" s="8"/>
      <c r="J28" s="101">
        <f xml:space="preserve"> ROUND((J20/J16),4)</f>
        <v>1.0218</v>
      </c>
      <c r="L28" s="101">
        <f xml:space="preserve"> ROUND((L20/L16),4)</f>
        <v>0.97389999999999999</v>
      </c>
      <c r="M28" s="51"/>
      <c r="N28" s="101">
        <f xml:space="preserve"> ROUND((N20/N16),4)</f>
        <v>1.0007999999999999</v>
      </c>
      <c r="O28" s="51"/>
      <c r="P28" s="101">
        <f xml:space="preserve"> ROUND((P20/P16),4)</f>
        <v>1.0213000000000001</v>
      </c>
      <c r="Q28" s="51"/>
      <c r="R28" s="101">
        <f xml:space="preserve"> ROUND((R20/R16),4)</f>
        <v>0.99109999999999998</v>
      </c>
      <c r="S28" s="51"/>
      <c r="T28" s="101">
        <f xml:space="preserve"> ROUND((T20/T16),4)</f>
        <v>1.0128999999999999</v>
      </c>
      <c r="U28" s="101"/>
      <c r="V28" s="74">
        <f xml:space="preserve"> ROUND((V20/V16),4)</f>
        <v>1.0482</v>
      </c>
      <c r="W28" s="8"/>
      <c r="X28" s="74">
        <f xml:space="preserve"> ROUND((X20/X16),4)</f>
        <v>1.0482</v>
      </c>
      <c r="Y28" s="74"/>
      <c r="Z28" s="74">
        <f xml:space="preserve"> ROUND((Z20/Z16),4)</f>
        <v>1.0588</v>
      </c>
      <c r="AA28" s="8"/>
      <c r="AB28" s="74">
        <f xml:space="preserve"> ROUND((AB20/AB16),4)</f>
        <v>1.0417000000000001</v>
      </c>
      <c r="AC28" s="74"/>
      <c r="AD28" s="74">
        <f xml:space="preserve"> ROUND((AD20/AD16),4)</f>
        <v>0.997</v>
      </c>
      <c r="AE28" s="74"/>
      <c r="AF28" s="102">
        <f xml:space="preserve"> ROUND((AF20/AF16),4)</f>
        <v>1.1496999999999999</v>
      </c>
      <c r="AG28" s="102"/>
      <c r="AH28" s="102">
        <f xml:space="preserve"> ROUND((AH20/AH16),4)</f>
        <v>1.0815999999999999</v>
      </c>
      <c r="AI28" s="8"/>
      <c r="AJ28" s="102"/>
      <c r="AK28" s="103"/>
      <c r="AL28" s="102">
        <f xml:space="preserve"> ROUND((AL20/AL16),4)</f>
        <v>1</v>
      </c>
      <c r="AM28" s="102"/>
      <c r="AN28" s="102">
        <f xml:space="preserve"> ROUND((AN20/AN16),4)</f>
        <v>1.0154000000000001</v>
      </c>
      <c r="AO28" s="102"/>
      <c r="AP28" s="102">
        <f xml:space="preserve"> ROUND((AP20/AP16),4)</f>
        <v>1.0048999999999999</v>
      </c>
      <c r="AQ28" s="102"/>
      <c r="AR28" s="102">
        <f xml:space="preserve"> ROUND((AR20/AR16),4)</f>
        <v>1.0088999999999999</v>
      </c>
      <c r="AS28" s="102"/>
      <c r="AT28" s="102">
        <f xml:space="preserve"> ROUND((AT20/AT16),4)</f>
        <v>1</v>
      </c>
      <c r="AU28" s="102"/>
      <c r="AV28" s="102">
        <f xml:space="preserve"> ROUND((AV20/AV16),4)</f>
        <v>1.0402</v>
      </c>
      <c r="AW28" s="102"/>
      <c r="AX28" s="102">
        <f xml:space="preserve"> ROUND((AX20/AX16),4)</f>
        <v>1.0427999999999999</v>
      </c>
      <c r="AY28" s="102"/>
      <c r="AZ28" s="102">
        <f xml:space="preserve"> ROUND((AZ20/AZ16),4)</f>
        <v>1.0458000000000001</v>
      </c>
      <c r="BA28" s="102"/>
      <c r="BB28" s="102">
        <f xml:space="preserve"> ROUND((BB20/BB16),4)</f>
        <v>1.0427</v>
      </c>
      <c r="BC28" s="8"/>
      <c r="BD28" s="102">
        <f xml:space="preserve"> ROUND((BD20/BD16),4)</f>
        <v>1.0429999999999999</v>
      </c>
      <c r="BE28" s="102"/>
      <c r="BF28" s="102">
        <f xml:space="preserve"> ROUND((BF20/BF16),4)</f>
        <v>0.99219999999999997</v>
      </c>
      <c r="BG28" s="102"/>
      <c r="BH28" s="102">
        <f xml:space="preserve"> ROUND((BH20/BH16),4)</f>
        <v>0.97599999999999998</v>
      </c>
      <c r="BI28" s="102"/>
      <c r="BJ28" s="102">
        <f xml:space="preserve"> ROUND((BJ20/BJ16),4)</f>
        <v>0.98960000000000004</v>
      </c>
      <c r="BK28" s="102"/>
      <c r="BL28" s="102">
        <f xml:space="preserve"> ROUND((BL20/BL16),4)</f>
        <v>0.97460000000000002</v>
      </c>
      <c r="BM28" s="102"/>
      <c r="BN28" s="102">
        <f xml:space="preserve"> ROUND((BN20/BN16),4)</f>
        <v>0.96599999999999997</v>
      </c>
      <c r="BO28" s="102"/>
      <c r="BP28" s="102">
        <f xml:space="preserve"> ROUND((BP20/BP16),4)</f>
        <v>1.0778000000000001</v>
      </c>
      <c r="BQ28" s="102"/>
      <c r="BR28" s="104"/>
      <c r="BS28" s="104"/>
    </row>
    <row r="29" spans="2:71" ht="13.5" customHeight="1" thickBot="1" x14ac:dyDescent="0.25">
      <c r="C29" s="64"/>
      <c r="D29" s="100" t="s">
        <v>50</v>
      </c>
      <c r="E29" s="100"/>
      <c r="F29" s="101"/>
      <c r="G29" s="100"/>
      <c r="H29" s="101"/>
      <c r="I29" s="8"/>
      <c r="J29" s="101"/>
      <c r="L29" s="101"/>
      <c r="M29" s="51"/>
      <c r="N29" s="101"/>
      <c r="O29" s="51"/>
      <c r="P29" s="101"/>
      <c r="Q29" s="51"/>
      <c r="R29" s="105">
        <v>5220.1899999999996</v>
      </c>
      <c r="S29" s="51"/>
      <c r="T29" s="105">
        <v>5533.24</v>
      </c>
      <c r="U29" s="8"/>
      <c r="V29" s="105">
        <v>5694.26</v>
      </c>
      <c r="W29" s="8"/>
      <c r="X29" s="105">
        <f>X26+45.34</f>
        <v>5927.7850000000008</v>
      </c>
      <c r="Y29" s="105"/>
      <c r="Z29" s="105">
        <v>6484.23</v>
      </c>
      <c r="AA29" s="8"/>
      <c r="AB29" s="105">
        <v>6398.71</v>
      </c>
      <c r="AC29" s="105"/>
      <c r="AD29" s="105">
        <f>AD26+49.02</f>
        <v>6135.8099999999995</v>
      </c>
      <c r="AE29" s="105"/>
      <c r="AF29" s="106">
        <v>5296.84</v>
      </c>
      <c r="AG29" s="106"/>
      <c r="AH29" s="106">
        <f>AH26+31.2</f>
        <v>5218.1699999999992</v>
      </c>
      <c r="AI29" s="8"/>
      <c r="AJ29" s="106"/>
      <c r="AK29" s="107"/>
      <c r="AL29" s="106">
        <f>AL26+31.22</f>
        <v>5502.3300000000008</v>
      </c>
      <c r="AM29" s="106"/>
      <c r="AN29" s="106">
        <f>AN26+31.22</f>
        <v>5549.42</v>
      </c>
      <c r="AO29" s="106"/>
      <c r="AP29" s="106">
        <f>AP26+35.83+0.03</f>
        <v>5608.5400000000009</v>
      </c>
      <c r="AQ29" s="106"/>
      <c r="AR29" s="108">
        <f>AR26+35.83</f>
        <v>5579.0800000000008</v>
      </c>
      <c r="AS29" s="106"/>
      <c r="AT29" s="108">
        <f>AT26+33.3</f>
        <v>5746.9999999999991</v>
      </c>
      <c r="AU29" s="106"/>
      <c r="AV29" s="108">
        <f>AV26+33.3</f>
        <v>5747</v>
      </c>
      <c r="AW29" s="106"/>
      <c r="AX29" s="108">
        <f>AX26+33.3</f>
        <v>5747</v>
      </c>
      <c r="AY29" s="106"/>
      <c r="AZ29" s="108">
        <f>AZ26+38.87</f>
        <v>5753.51</v>
      </c>
      <c r="BA29" s="106"/>
      <c r="BB29" s="108">
        <f>BB26+38.53</f>
        <v>5834.11</v>
      </c>
      <c r="BC29" s="109"/>
      <c r="BD29" s="209">
        <f>BD26+38.54</f>
        <v>5749.3</v>
      </c>
      <c r="BE29" s="106"/>
      <c r="BF29" s="209">
        <f>BF26+33.3+15.22</f>
        <v>6337.92</v>
      </c>
      <c r="BG29" s="106"/>
      <c r="BH29" s="209">
        <f>BH26+47.01</f>
        <v>5707.6900000000005</v>
      </c>
      <c r="BI29" s="106"/>
      <c r="BJ29" s="108">
        <f>BJ26+41.28</f>
        <v>5533.64</v>
      </c>
      <c r="BK29" s="108"/>
      <c r="BL29" s="108">
        <v>5505.15</v>
      </c>
      <c r="BM29" s="106"/>
      <c r="BN29" s="209">
        <v>5486.06</v>
      </c>
      <c r="BO29" s="106"/>
      <c r="BP29" s="209">
        <f>(BN29/BN26)*BP26</f>
        <v>5445.7918115922539</v>
      </c>
      <c r="BQ29" s="106"/>
      <c r="BR29" s="204">
        <v>5745</v>
      </c>
      <c r="BS29" s="97"/>
    </row>
    <row r="30" spans="2:71" ht="13.5" customHeight="1" thickTop="1" x14ac:dyDescent="0.2">
      <c r="C30" s="64"/>
      <c r="D30" s="8" t="s">
        <v>51</v>
      </c>
      <c r="E30" s="100"/>
      <c r="F30" s="101"/>
      <c r="G30" s="100"/>
      <c r="H30" s="101"/>
      <c r="I30" s="8"/>
      <c r="J30" s="101"/>
      <c r="L30" s="101"/>
      <c r="M30" s="51"/>
      <c r="N30" s="101"/>
      <c r="O30" s="51"/>
      <c r="P30" s="101"/>
      <c r="Q30" s="51"/>
      <c r="R30" s="105"/>
      <c r="S30" s="51"/>
      <c r="T30" s="105"/>
      <c r="U30" s="8"/>
      <c r="V30" s="105"/>
      <c r="W30" s="8"/>
      <c r="X30" s="105"/>
      <c r="Y30" s="105"/>
      <c r="Z30" s="110"/>
      <c r="AA30" s="8"/>
      <c r="AB30" s="110">
        <f>(AB29-Z29)/Z29</f>
        <v>-1.3188921429375505E-2</v>
      </c>
      <c r="AC30" s="110"/>
      <c r="AD30" s="110">
        <f>(AD29-AB29)/AB29</f>
        <v>-4.1086406478805966E-2</v>
      </c>
      <c r="AE30" s="110"/>
      <c r="AF30" s="111">
        <f>(AF29-AD29)/AD29</f>
        <v>-0.13673337342583936</v>
      </c>
      <c r="AG30" s="111"/>
      <c r="AH30" s="111">
        <f>(AH29-AF29)/AF29</f>
        <v>-1.4852251531101748E-2</v>
      </c>
      <c r="AI30" s="8"/>
      <c r="AJ30" s="111"/>
      <c r="AK30" s="112"/>
      <c r="AL30" s="111">
        <f>(AL29-AH29)/AH29</f>
        <v>5.4455872461035518E-2</v>
      </c>
      <c r="AM30" s="111"/>
      <c r="AN30" s="111">
        <f>(AN29-AH29)/AH29</f>
        <v>6.3480108927076145E-2</v>
      </c>
      <c r="AO30" s="111"/>
      <c r="AP30" s="111">
        <f>(AP29-AH29)/AH29</f>
        <v>7.4809751311283798E-2</v>
      </c>
      <c r="AQ30" s="111"/>
      <c r="AR30" s="111">
        <f>(AR29-AP29)/AP29</f>
        <v>-5.252703912248113E-3</v>
      </c>
      <c r="AS30" s="111"/>
      <c r="AT30" s="111">
        <f>(AT29-AR29)/AR29</f>
        <v>3.0098152383546791E-2</v>
      </c>
      <c r="AU30" s="111"/>
      <c r="AV30" s="111">
        <f>(AV29-AT29)/AT29</f>
        <v>1.5825555973080362E-16</v>
      </c>
      <c r="AW30" s="111"/>
      <c r="AX30" s="111">
        <f>(AX29-AV29)/AV29</f>
        <v>0</v>
      </c>
      <c r="AY30" s="111"/>
      <c r="AZ30" s="111">
        <f>(AZ29-AX29)/AX29</f>
        <v>1.1327649208282963E-3</v>
      </c>
      <c r="BA30" s="111"/>
      <c r="BB30" s="111">
        <f>(BB29-AZ29)/AZ29</f>
        <v>1.4008839821256842E-2</v>
      </c>
      <c r="BC30" s="8"/>
      <c r="BD30" s="198">
        <f>(BD29-BB29)/BB29</f>
        <v>-1.4536921655573772E-2</v>
      </c>
      <c r="BE30" s="200"/>
      <c r="BF30" s="199">
        <f>(BF29-BD29)/BD29</f>
        <v>0.10238115944549769</v>
      </c>
      <c r="BG30" s="200"/>
      <c r="BH30" s="198">
        <f>(BH29-BF29)/BF29</f>
        <v>-9.9437985963849271E-2</v>
      </c>
      <c r="BI30" s="200"/>
      <c r="BJ30" s="194">
        <f>(BJ29-BH29)/BH29</f>
        <v>-3.0493947639062418E-2</v>
      </c>
      <c r="BK30" s="200"/>
      <c r="BL30" s="194">
        <f>(BL29-BH29)/BH29</f>
        <v>-3.5485459091156114E-2</v>
      </c>
      <c r="BM30" s="200"/>
      <c r="BN30" s="198">
        <f>(BN29-BH29)/BH29</f>
        <v>-3.8830069607844873E-2</v>
      </c>
      <c r="BO30" s="200"/>
      <c r="BP30" s="199">
        <f>(BP29-BN29)/BN29</f>
        <v>-7.3400925997430741E-3</v>
      </c>
      <c r="BQ30" s="111"/>
      <c r="BR30" s="194"/>
      <c r="BS30" s="164"/>
    </row>
    <row r="31" spans="2:71" ht="18" customHeight="1" x14ac:dyDescent="0.2">
      <c r="B31" s="51" t="s">
        <v>52</v>
      </c>
      <c r="C31" s="64"/>
      <c r="F31" s="113"/>
      <c r="G31" s="113"/>
      <c r="H31" s="113"/>
      <c r="I31" s="8"/>
      <c r="J31" s="51"/>
      <c r="L31" s="51"/>
      <c r="M31" s="51"/>
      <c r="N31" s="51"/>
      <c r="O31" s="51"/>
      <c r="P31" s="51"/>
      <c r="Q31" s="51"/>
      <c r="R31" s="51"/>
      <c r="S31" s="51"/>
      <c r="T31" s="51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7"/>
      <c r="AG31" s="87"/>
      <c r="AH31" s="87"/>
      <c r="AI31" s="8"/>
      <c r="AJ31" s="87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8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93"/>
    </row>
    <row r="32" spans="2:71" x14ac:dyDescent="0.2">
      <c r="C32" s="64" t="s">
        <v>39</v>
      </c>
      <c r="F32" s="113"/>
      <c r="G32" s="113"/>
      <c r="H32" s="113"/>
      <c r="I32" s="8"/>
      <c r="J32" s="51"/>
      <c r="L32" s="51"/>
      <c r="M32" s="51"/>
      <c r="N32" s="51"/>
      <c r="O32" s="51"/>
      <c r="P32" s="51"/>
      <c r="Q32" s="51"/>
      <c r="R32" s="51"/>
      <c r="S32" s="51"/>
      <c r="T32" s="51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7"/>
      <c r="AG32" s="87"/>
      <c r="AH32" s="87"/>
      <c r="AI32" s="8"/>
      <c r="AJ32" s="87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8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</row>
    <row r="33" spans="3:77" x14ac:dyDescent="0.2">
      <c r="C33" s="64"/>
      <c r="D33" t="s">
        <v>40</v>
      </c>
      <c r="F33" s="53">
        <v>908.55</v>
      </c>
      <c r="H33" s="54">
        <v>843.88</v>
      </c>
      <c r="I33" s="8"/>
      <c r="J33" s="54">
        <f>820.04-35.74</f>
        <v>784.3</v>
      </c>
      <c r="K33" s="51" t="s">
        <v>41</v>
      </c>
      <c r="L33" s="54">
        <f>1044.98-39.25</f>
        <v>1005.73</v>
      </c>
      <c r="M33" s="54" t="s">
        <v>41</v>
      </c>
      <c r="N33" s="55">
        <v>1036.96</v>
      </c>
      <c r="O33" s="55"/>
      <c r="P33" s="55">
        <v>960.92</v>
      </c>
      <c r="Q33" s="55"/>
      <c r="R33" s="55">
        <v>781.54</v>
      </c>
      <c r="S33" s="55"/>
      <c r="T33" s="55">
        <v>914.62</v>
      </c>
      <c r="U33" s="55"/>
      <c r="V33" s="56">
        <f>735.95+243.96</f>
        <v>979.91000000000008</v>
      </c>
      <c r="W33" s="8"/>
      <c r="X33" s="56">
        <f>735.95+243.96</f>
        <v>979.91000000000008</v>
      </c>
      <c r="Y33" s="56"/>
      <c r="Z33" s="56">
        <v>976.76</v>
      </c>
      <c r="AA33" s="8"/>
      <c r="AB33" s="56">
        <v>1206.5</v>
      </c>
      <c r="AC33" s="56"/>
      <c r="AD33" s="56">
        <v>716.54</v>
      </c>
      <c r="AE33" s="56"/>
      <c r="AF33" s="57">
        <v>358.31</v>
      </c>
      <c r="AG33" s="57"/>
      <c r="AH33" s="57">
        <v>54.61</v>
      </c>
      <c r="AI33" s="58"/>
      <c r="AJ33" s="57">
        <v>506.51</v>
      </c>
      <c r="AK33" s="59"/>
      <c r="AL33" s="59">
        <v>506.51</v>
      </c>
      <c r="AM33" s="59"/>
      <c r="AN33" s="59">
        <v>506.67</v>
      </c>
      <c r="AO33" s="59"/>
      <c r="AP33" s="57">
        <v>506.67</v>
      </c>
      <c r="AQ33" s="57"/>
      <c r="AR33" s="57">
        <v>588.91</v>
      </c>
      <c r="AS33" s="57"/>
      <c r="AT33" s="57">
        <f>597.03+107.45</f>
        <v>704.48</v>
      </c>
      <c r="AU33" s="57"/>
      <c r="AV33" s="57">
        <f>597.05+107.45</f>
        <v>704.5</v>
      </c>
      <c r="AW33" s="57"/>
      <c r="AX33" s="57">
        <f>597.05+107.45</f>
        <v>704.5</v>
      </c>
      <c r="AY33" s="57"/>
      <c r="AZ33" s="57">
        <f>597.05+107.45</f>
        <v>704.5</v>
      </c>
      <c r="BA33" s="57"/>
      <c r="BB33" s="57">
        <f>597.05+107.45</f>
        <v>704.5</v>
      </c>
      <c r="BC33" s="58"/>
      <c r="BD33" s="57">
        <f>597.05+107.45</f>
        <v>704.5</v>
      </c>
      <c r="BE33" s="57"/>
      <c r="BF33" s="57">
        <v>775.28</v>
      </c>
      <c r="BG33" s="57"/>
      <c r="BH33" s="57">
        <f>432.83+323.21+71.35</f>
        <v>827.39</v>
      </c>
      <c r="BI33" s="57"/>
      <c r="BJ33" s="57">
        <v>907.84</v>
      </c>
      <c r="BK33" s="57"/>
      <c r="BL33" s="57">
        <f>907.75+0.09</f>
        <v>907.84</v>
      </c>
      <c r="BM33" s="57"/>
      <c r="BN33" s="57">
        <f>907.75+0.09</f>
        <v>907.84</v>
      </c>
      <c r="BO33" s="57"/>
      <c r="BP33" s="57">
        <v>836.8</v>
      </c>
      <c r="BQ33" s="57"/>
      <c r="BR33" s="165" t="s">
        <v>70</v>
      </c>
      <c r="BS33" s="61"/>
    </row>
    <row r="34" spans="3:77" x14ac:dyDescent="0.2">
      <c r="C34" s="64"/>
      <c r="D34" t="s">
        <v>42</v>
      </c>
      <c r="F34" s="53">
        <v>25.57</v>
      </c>
      <c r="H34" s="54">
        <v>22.51</v>
      </c>
      <c r="I34" s="8"/>
      <c r="J34" s="54">
        <v>20.239999999999998</v>
      </c>
      <c r="L34" s="54">
        <v>17.95</v>
      </c>
      <c r="M34" s="55"/>
      <c r="N34" s="55">
        <v>22.64</v>
      </c>
      <c r="O34" s="55"/>
      <c r="P34" s="55">
        <v>13.87</v>
      </c>
      <c r="Q34" s="55"/>
      <c r="R34" s="55">
        <v>14.69</v>
      </c>
      <c r="S34" s="55"/>
      <c r="T34" s="55">
        <v>12.49</v>
      </c>
      <c r="U34" s="55"/>
      <c r="V34" s="56">
        <v>12.73</v>
      </c>
      <c r="W34" s="8"/>
      <c r="X34" s="56">
        <v>12.73</v>
      </c>
      <c r="Y34" s="56"/>
      <c r="Z34" s="56">
        <v>12.16</v>
      </c>
      <c r="AA34" s="8"/>
      <c r="AB34" s="56">
        <v>16.489999999999998</v>
      </c>
      <c r="AC34" s="56"/>
      <c r="AD34" s="56">
        <v>16.04</v>
      </c>
      <c r="AE34" s="56"/>
      <c r="AF34" s="57">
        <v>0.14000000000000001</v>
      </c>
      <c r="AG34" s="57"/>
      <c r="AH34" s="63">
        <v>0</v>
      </c>
      <c r="AI34" s="115"/>
      <c r="AJ34" s="57">
        <v>2.4500000000000002</v>
      </c>
      <c r="AK34" s="59"/>
      <c r="AL34" s="59">
        <v>2.4500000000000002</v>
      </c>
      <c r="AM34" s="59"/>
      <c r="AN34" s="59">
        <v>2.4500000000000002</v>
      </c>
      <c r="AO34" s="59"/>
      <c r="AP34" s="57">
        <v>7.41</v>
      </c>
      <c r="AQ34" s="57"/>
      <c r="AR34" s="57">
        <v>15.33</v>
      </c>
      <c r="AS34" s="57"/>
      <c r="AT34" s="57">
        <v>25.6</v>
      </c>
      <c r="AU34" s="57"/>
      <c r="AV34" s="57">
        <v>25.6</v>
      </c>
      <c r="AW34" s="57"/>
      <c r="AX34" s="57">
        <v>25.6</v>
      </c>
      <c r="AY34" s="57"/>
      <c r="AZ34" s="57">
        <v>25.6</v>
      </c>
      <c r="BA34" s="57"/>
      <c r="BB34" s="57">
        <v>35.74</v>
      </c>
      <c r="BC34" s="115"/>
      <c r="BD34" s="57">
        <v>35.74</v>
      </c>
      <c r="BE34" s="57"/>
      <c r="BF34" s="57">
        <v>36.32</v>
      </c>
      <c r="BG34" s="57"/>
      <c r="BH34" s="57">
        <v>29.71</v>
      </c>
      <c r="BI34" s="57"/>
      <c r="BJ34" s="57">
        <v>36.1</v>
      </c>
      <c r="BK34" s="57"/>
      <c r="BL34" s="57">
        <v>41.02</v>
      </c>
      <c r="BM34" s="57"/>
      <c r="BN34" s="57">
        <v>41.02</v>
      </c>
      <c r="BO34" s="57"/>
      <c r="BP34" s="57">
        <v>29.31</v>
      </c>
      <c r="BQ34" s="57"/>
      <c r="BR34" s="165" t="s">
        <v>70</v>
      </c>
      <c r="BS34" s="61"/>
    </row>
    <row r="35" spans="3:77" x14ac:dyDescent="0.2">
      <c r="C35" s="64"/>
      <c r="D35" t="s">
        <v>43</v>
      </c>
      <c r="F35" s="53">
        <v>16.66</v>
      </c>
      <c r="H35" s="54">
        <v>13.66</v>
      </c>
      <c r="I35" s="8"/>
      <c r="J35" s="54">
        <v>16.829999999999998</v>
      </c>
      <c r="L35" s="54">
        <v>28.09</v>
      </c>
      <c r="M35" s="55"/>
      <c r="N35" s="55">
        <v>20.46</v>
      </c>
      <c r="O35" s="55"/>
      <c r="P35" s="55">
        <v>17.22</v>
      </c>
      <c r="Q35" s="55"/>
      <c r="R35" s="55">
        <v>23.24</v>
      </c>
      <c r="S35" s="55"/>
      <c r="T35" s="55">
        <v>17.2</v>
      </c>
      <c r="U35" s="55"/>
      <c r="V35" s="56">
        <v>17.34</v>
      </c>
      <c r="W35" s="8"/>
      <c r="X35" s="56">
        <v>17.34</v>
      </c>
      <c r="Y35" s="56"/>
      <c r="Z35" s="56">
        <f>11.07</f>
        <v>11.07</v>
      </c>
      <c r="AA35" s="8"/>
      <c r="AB35" s="56">
        <v>14.01</v>
      </c>
      <c r="AC35" s="56"/>
      <c r="AD35" s="56">
        <v>0.51</v>
      </c>
      <c r="AE35" s="56"/>
      <c r="AF35" s="57">
        <v>0.18</v>
      </c>
      <c r="AG35" s="57"/>
      <c r="AH35" s="63">
        <v>0</v>
      </c>
      <c r="AI35" s="115"/>
      <c r="AJ35" s="57">
        <v>0.12</v>
      </c>
      <c r="AK35" s="59"/>
      <c r="AL35" s="59">
        <v>0.12</v>
      </c>
      <c r="AM35" s="59"/>
      <c r="AN35" s="59">
        <v>0.12</v>
      </c>
      <c r="AO35" s="59"/>
      <c r="AP35" s="57">
        <v>0.12</v>
      </c>
      <c r="AQ35" s="57"/>
      <c r="AR35" s="57">
        <v>0.1</v>
      </c>
      <c r="AS35" s="57"/>
      <c r="AT35" s="57">
        <v>0.06</v>
      </c>
      <c r="AU35" s="57"/>
      <c r="AV35" s="57">
        <v>0.06</v>
      </c>
      <c r="AW35" s="57"/>
      <c r="AX35" s="57">
        <v>0.06</v>
      </c>
      <c r="AY35" s="57"/>
      <c r="AZ35" s="57">
        <v>0.06</v>
      </c>
      <c r="BA35" s="57"/>
      <c r="BB35" s="57">
        <v>0.06</v>
      </c>
      <c r="BC35" s="115"/>
      <c r="BD35" s="57">
        <v>0.06</v>
      </c>
      <c r="BE35" s="57"/>
      <c r="BF35" s="57">
        <v>0.17</v>
      </c>
      <c r="BG35" s="57"/>
      <c r="BH35" s="57">
        <v>0</v>
      </c>
      <c r="BI35" s="57"/>
      <c r="BJ35" s="57">
        <v>0</v>
      </c>
      <c r="BK35" s="57"/>
      <c r="BL35" s="57">
        <v>0</v>
      </c>
      <c r="BM35" s="57"/>
      <c r="BN35" s="57">
        <v>0</v>
      </c>
      <c r="BO35" s="57"/>
      <c r="BP35" s="57">
        <v>0</v>
      </c>
      <c r="BQ35" s="57"/>
      <c r="BR35" s="165" t="s">
        <v>70</v>
      </c>
      <c r="BS35" s="61"/>
    </row>
    <row r="36" spans="3:77" x14ac:dyDescent="0.2">
      <c r="C36" s="64"/>
      <c r="D36" t="s">
        <v>44</v>
      </c>
      <c r="F36" s="53"/>
      <c r="H36" s="54"/>
      <c r="I36" s="8"/>
      <c r="J36" s="54"/>
      <c r="L36" s="54"/>
      <c r="M36" s="55"/>
      <c r="N36" s="55"/>
      <c r="O36" s="55"/>
      <c r="P36" s="55"/>
      <c r="Q36" s="55"/>
      <c r="R36" s="55"/>
      <c r="S36" s="55"/>
      <c r="T36" s="55"/>
      <c r="U36" s="55"/>
      <c r="V36" s="56">
        <v>-243.96</v>
      </c>
      <c r="W36" s="8"/>
      <c r="X36" s="56"/>
      <c r="Y36" s="56"/>
      <c r="Z36" s="56"/>
      <c r="AA36" s="8"/>
      <c r="AB36" s="56"/>
      <c r="AC36" s="56"/>
      <c r="AD36" s="56"/>
      <c r="AE36" s="56"/>
      <c r="AF36" s="57"/>
      <c r="AG36" s="57"/>
      <c r="AH36" s="57"/>
      <c r="AI36" s="8"/>
      <c r="AJ36" s="65">
        <v>-153.76</v>
      </c>
      <c r="AK36" s="66"/>
      <c r="AL36" s="66">
        <v>-153.76</v>
      </c>
      <c r="AM36" s="66"/>
      <c r="AN36" s="66">
        <v>-153.76</v>
      </c>
      <c r="AO36" s="66"/>
      <c r="AP36" s="65">
        <v>-153.76</v>
      </c>
      <c r="AQ36" s="65"/>
      <c r="AR36" s="90"/>
      <c r="AS36" s="65"/>
      <c r="AT36" s="65">
        <v>-107.45</v>
      </c>
      <c r="AU36" s="65"/>
      <c r="AV36" s="65">
        <v>-107.45</v>
      </c>
      <c r="AW36" s="65"/>
      <c r="AX36" s="65">
        <v>-107.45</v>
      </c>
      <c r="AY36" s="65"/>
      <c r="AZ36" s="65">
        <v>-107.45</v>
      </c>
      <c r="BA36" s="65"/>
      <c r="BB36" s="65">
        <v>-107.45</v>
      </c>
      <c r="BC36" s="8"/>
      <c r="BD36" s="196">
        <v>-107.45</v>
      </c>
      <c r="BE36" s="65"/>
      <c r="BF36" s="196">
        <v>-661.44</v>
      </c>
      <c r="BG36" s="65"/>
      <c r="BH36" s="196">
        <v>-756.04</v>
      </c>
      <c r="BI36" s="65"/>
      <c r="BJ36" s="65"/>
      <c r="BK36" s="65"/>
      <c r="BL36" s="65"/>
      <c r="BM36" s="65"/>
      <c r="BN36" s="57">
        <v>0</v>
      </c>
      <c r="BO36" s="65"/>
      <c r="BP36" s="57">
        <v>0</v>
      </c>
      <c r="BQ36" s="65"/>
      <c r="BR36" s="168"/>
      <c r="BS36" s="10"/>
    </row>
    <row r="37" spans="3:77" x14ac:dyDescent="0.2">
      <c r="C37" s="64" t="s">
        <v>45</v>
      </c>
      <c r="F37" s="53"/>
      <c r="H37" s="54"/>
      <c r="I37" s="8"/>
      <c r="J37" s="54"/>
      <c r="L37" s="54"/>
      <c r="M37" s="55"/>
      <c r="N37" s="55"/>
      <c r="O37" s="55"/>
      <c r="P37" s="55"/>
      <c r="Q37" s="55"/>
      <c r="R37" s="55"/>
      <c r="S37" s="55"/>
      <c r="T37" s="55"/>
      <c r="U37" s="55"/>
      <c r="V37" s="56"/>
      <c r="W37" s="8"/>
      <c r="X37" s="56"/>
      <c r="Y37" s="56"/>
      <c r="Z37" s="56"/>
      <c r="AA37" s="8"/>
      <c r="AB37" s="56"/>
      <c r="AC37" s="56"/>
      <c r="AD37" s="56"/>
      <c r="AE37" s="56"/>
      <c r="AF37" s="57"/>
      <c r="AG37" s="57"/>
      <c r="AH37" s="57"/>
      <c r="AI37" s="8"/>
      <c r="AJ37" s="57"/>
      <c r="AK37" s="59"/>
      <c r="AL37" s="59"/>
      <c r="AM37" s="59"/>
      <c r="AN37" s="59"/>
      <c r="AO37" s="59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8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166"/>
    </row>
    <row r="38" spans="3:77" x14ac:dyDescent="0.2">
      <c r="C38" s="64"/>
      <c r="D38" t="s">
        <v>40</v>
      </c>
      <c r="F38" s="53">
        <v>5256.4</v>
      </c>
      <c r="G38" s="64"/>
      <c r="H38" s="54">
        <v>5016.3999999999996</v>
      </c>
      <c r="I38" s="116"/>
      <c r="J38" s="54">
        <v>5279.43</v>
      </c>
      <c r="L38" s="54">
        <v>5766.53</v>
      </c>
      <c r="M38" s="55"/>
      <c r="N38" s="55">
        <v>5691.69</v>
      </c>
      <c r="O38" s="55"/>
      <c r="P38" s="55">
        <v>5566.45</v>
      </c>
      <c r="Q38" s="55"/>
      <c r="R38" s="55">
        <v>5392.54</v>
      </c>
      <c r="S38" s="55"/>
      <c r="T38" s="55">
        <v>5468.78</v>
      </c>
      <c r="U38" s="55"/>
      <c r="V38" s="56">
        <v>5808.25</v>
      </c>
      <c r="W38" s="8"/>
      <c r="X38" s="56">
        <v>5808.25</v>
      </c>
      <c r="Y38" s="56"/>
      <c r="Z38" s="56">
        <v>5923.94</v>
      </c>
      <c r="AA38" s="8"/>
      <c r="AB38" s="56">
        <v>6508.98</v>
      </c>
      <c r="AC38" s="56"/>
      <c r="AD38" s="56">
        <v>6184.41</v>
      </c>
      <c r="AE38" s="56"/>
      <c r="AF38" s="57">
        <v>6198.5</v>
      </c>
      <c r="AG38" s="57"/>
      <c r="AH38" s="57">
        <v>5595.32</v>
      </c>
      <c r="AI38" s="58"/>
      <c r="AJ38" s="57">
        <v>5961.67</v>
      </c>
      <c r="AK38" s="59"/>
      <c r="AL38" s="59">
        <v>5955.51</v>
      </c>
      <c r="AM38" s="59"/>
      <c r="AN38" s="59">
        <v>5955.51</v>
      </c>
      <c r="AO38" s="59"/>
      <c r="AP38" s="57">
        <v>6001.8</v>
      </c>
      <c r="AQ38" s="57"/>
      <c r="AR38" s="57">
        <v>5902.42</v>
      </c>
      <c r="AS38" s="57"/>
      <c r="AT38" s="57">
        <v>5686.85</v>
      </c>
      <c r="AU38" s="57"/>
      <c r="AV38" s="57">
        <v>5687.95</v>
      </c>
      <c r="AW38" s="57"/>
      <c r="AX38" s="57">
        <v>5687.95</v>
      </c>
      <c r="AY38" s="57"/>
      <c r="AZ38" s="57">
        <v>5687.95</v>
      </c>
      <c r="BA38" s="57"/>
      <c r="BB38" s="57">
        <v>5688.08</v>
      </c>
      <c r="BC38" s="60"/>
      <c r="BD38" s="57">
        <v>5718.35</v>
      </c>
      <c r="BE38" s="57"/>
      <c r="BF38" s="57">
        <v>5766.18</v>
      </c>
      <c r="BG38" s="57"/>
      <c r="BH38" s="57">
        <v>5591.17</v>
      </c>
      <c r="BI38" s="57"/>
      <c r="BJ38" s="57">
        <v>5531.07</v>
      </c>
      <c r="BK38" s="57"/>
      <c r="BL38" s="57">
        <v>5549.59</v>
      </c>
      <c r="BM38" s="57"/>
      <c r="BN38" s="57">
        <v>5549.63</v>
      </c>
      <c r="BO38" s="57"/>
      <c r="BP38" s="57">
        <v>5111.83</v>
      </c>
      <c r="BQ38" s="57"/>
      <c r="BR38" s="165" t="s">
        <v>70</v>
      </c>
      <c r="BS38" s="61"/>
    </row>
    <row r="39" spans="3:77" x14ac:dyDescent="0.2">
      <c r="C39" s="62"/>
      <c r="D39" t="s">
        <v>42</v>
      </c>
      <c r="F39" s="53">
        <v>79.88</v>
      </c>
      <c r="H39" s="54">
        <v>69.010000000000005</v>
      </c>
      <c r="I39" s="8"/>
      <c r="J39" s="54">
        <v>82.96</v>
      </c>
      <c r="L39" s="54">
        <v>67.87</v>
      </c>
      <c r="M39" s="55"/>
      <c r="N39" s="55">
        <v>68.459999999999994</v>
      </c>
      <c r="O39" s="55"/>
      <c r="P39" s="55">
        <v>55.42</v>
      </c>
      <c r="Q39" s="55"/>
      <c r="R39" s="55">
        <v>55.94</v>
      </c>
      <c r="S39" s="55"/>
      <c r="T39" s="55">
        <v>33.4</v>
      </c>
      <c r="U39" s="55"/>
      <c r="V39" s="56">
        <f>44.03+2.94</f>
        <v>46.97</v>
      </c>
      <c r="W39" s="8"/>
      <c r="X39" s="56">
        <f>44.03+2.94</f>
        <v>46.97</v>
      </c>
      <c r="Y39" s="56"/>
      <c r="Z39" s="56">
        <f>39.26+0.01</f>
        <v>39.269999999999996</v>
      </c>
      <c r="AA39" s="8"/>
      <c r="AB39" s="56">
        <v>46.04</v>
      </c>
      <c r="AC39" s="56"/>
      <c r="AD39" s="56">
        <v>59.09</v>
      </c>
      <c r="AE39" s="56"/>
      <c r="AF39" s="57">
        <v>127.12</v>
      </c>
      <c r="AG39" s="57"/>
      <c r="AH39" s="57">
        <v>103.82</v>
      </c>
      <c r="AI39" s="8"/>
      <c r="AJ39" s="57">
        <v>69.09</v>
      </c>
      <c r="AK39" s="59"/>
      <c r="AL39" s="59">
        <v>50.21</v>
      </c>
      <c r="AM39" s="59"/>
      <c r="AN39" s="59">
        <v>50.27</v>
      </c>
      <c r="AO39" s="59"/>
      <c r="AP39" s="57">
        <v>73.37</v>
      </c>
      <c r="AQ39" s="57"/>
      <c r="AR39" s="57">
        <v>77.040000000000006</v>
      </c>
      <c r="AS39" s="57"/>
      <c r="AT39" s="57">
        <v>144.94</v>
      </c>
      <c r="AU39" s="57"/>
      <c r="AV39" s="57">
        <v>157.41</v>
      </c>
      <c r="AW39" s="57"/>
      <c r="AX39" s="57">
        <v>157.41</v>
      </c>
      <c r="AY39" s="57"/>
      <c r="AZ39" s="57">
        <v>163.96</v>
      </c>
      <c r="BA39" s="57"/>
      <c r="BB39" s="57">
        <v>171.59</v>
      </c>
      <c r="BC39" s="8"/>
      <c r="BD39" s="57">
        <v>171.59</v>
      </c>
      <c r="BE39" s="57"/>
      <c r="BF39" s="57">
        <v>177.57</v>
      </c>
      <c r="BG39" s="57"/>
      <c r="BH39" s="57">
        <v>240.83</v>
      </c>
      <c r="BI39" s="57"/>
      <c r="BJ39" s="57">
        <v>207.51</v>
      </c>
      <c r="BK39" s="57"/>
      <c r="BL39" s="57">
        <v>216.45</v>
      </c>
      <c r="BM39" s="57"/>
      <c r="BN39" s="57">
        <v>216.57</v>
      </c>
      <c r="BO39" s="57"/>
      <c r="BP39" s="57">
        <v>201.31</v>
      </c>
      <c r="BQ39" s="57"/>
      <c r="BR39" s="165" t="s">
        <v>70</v>
      </c>
      <c r="BS39" s="61"/>
    </row>
    <row r="40" spans="3:77" x14ac:dyDescent="0.2">
      <c r="C40" s="64"/>
      <c r="D40" t="s">
        <v>43</v>
      </c>
      <c r="F40" s="53">
        <v>114.29</v>
      </c>
      <c r="G40" s="117"/>
      <c r="H40" s="54">
        <v>119.94</v>
      </c>
      <c r="I40" s="8"/>
      <c r="J40" s="54">
        <v>138.26</v>
      </c>
      <c r="L40" s="54">
        <v>154.28</v>
      </c>
      <c r="M40" s="55"/>
      <c r="N40" s="55">
        <v>112.8</v>
      </c>
      <c r="O40" s="55"/>
      <c r="P40" s="55">
        <v>199.82</v>
      </c>
      <c r="Q40" s="55"/>
      <c r="R40" s="55">
        <v>193.68</v>
      </c>
      <c r="S40" s="55"/>
      <c r="T40" s="55">
        <v>161.84</v>
      </c>
      <c r="U40" s="55"/>
      <c r="V40" s="56">
        <f>156.36+8.18</f>
        <v>164.54000000000002</v>
      </c>
      <c r="W40" s="8"/>
      <c r="X40" s="56">
        <f>156.36+8.18</f>
        <v>164.54000000000002</v>
      </c>
      <c r="Y40" s="56"/>
      <c r="Z40" s="56">
        <v>127.76</v>
      </c>
      <c r="AA40" s="8"/>
      <c r="AB40" s="56">
        <v>9.25</v>
      </c>
      <c r="AC40" s="56"/>
      <c r="AD40" s="56">
        <v>13.31</v>
      </c>
      <c r="AE40" s="56"/>
      <c r="AF40" s="57">
        <v>11.36</v>
      </c>
      <c r="AG40" s="57"/>
      <c r="AH40" s="57">
        <v>12.93</v>
      </c>
      <c r="AI40" s="8"/>
      <c r="AJ40" s="57">
        <v>11</v>
      </c>
      <c r="AK40" s="59"/>
      <c r="AL40" s="59">
        <v>13.1</v>
      </c>
      <c r="AM40" s="59"/>
      <c r="AN40" s="59">
        <v>13.1</v>
      </c>
      <c r="AO40" s="59"/>
      <c r="AP40" s="57">
        <v>13.1</v>
      </c>
      <c r="AQ40" s="57"/>
      <c r="AR40" s="57">
        <v>11.12</v>
      </c>
      <c r="AS40" s="57"/>
      <c r="AT40" s="57">
        <v>11.17</v>
      </c>
      <c r="AU40" s="57"/>
      <c r="AV40" s="57">
        <v>11.17</v>
      </c>
      <c r="AW40" s="57"/>
      <c r="AX40" s="57">
        <v>11.17</v>
      </c>
      <c r="AY40" s="57"/>
      <c r="AZ40" s="57">
        <v>11.17</v>
      </c>
      <c r="BA40" s="57"/>
      <c r="BB40" s="57">
        <v>11.17</v>
      </c>
      <c r="BC40" s="8"/>
      <c r="BD40" s="57">
        <v>11.17</v>
      </c>
      <c r="BE40" s="57"/>
      <c r="BF40" s="57">
        <v>10.96</v>
      </c>
      <c r="BG40" s="57"/>
      <c r="BH40" s="57">
        <v>10.06</v>
      </c>
      <c r="BI40" s="57"/>
      <c r="BJ40" s="57">
        <v>8.51</v>
      </c>
      <c r="BK40" s="57"/>
      <c r="BL40" s="57">
        <v>8.51</v>
      </c>
      <c r="BM40" s="57"/>
      <c r="BN40" s="57">
        <v>8.51</v>
      </c>
      <c r="BO40" s="57"/>
      <c r="BP40" s="57">
        <v>7.92</v>
      </c>
      <c r="BQ40" s="57"/>
      <c r="BR40" s="165" t="s">
        <v>70</v>
      </c>
      <c r="BS40" s="61"/>
      <c r="BV40" s="13"/>
      <c r="BW40" s="13"/>
      <c r="BX40" s="13"/>
      <c r="BY40" s="13"/>
    </row>
    <row r="41" spans="3:77" x14ac:dyDescent="0.2">
      <c r="C41" s="64" t="s">
        <v>46</v>
      </c>
      <c r="F41" s="53"/>
      <c r="G41" s="117"/>
      <c r="H41" s="54"/>
      <c r="I41" s="8"/>
      <c r="J41" s="54"/>
      <c r="L41" s="54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8"/>
      <c r="X41" s="56"/>
      <c r="Y41" s="56"/>
      <c r="Z41" s="56"/>
      <c r="AA41" s="8"/>
      <c r="AB41" s="56"/>
      <c r="AC41" s="56"/>
      <c r="AD41" s="56"/>
      <c r="AE41" s="56"/>
      <c r="AF41" s="57"/>
      <c r="AG41" s="57"/>
      <c r="AH41" s="57"/>
      <c r="AI41" s="8"/>
      <c r="AJ41" s="57"/>
      <c r="AK41" s="59"/>
      <c r="AL41" s="59"/>
      <c r="AM41" s="59"/>
      <c r="AN41" s="59"/>
      <c r="AO41" s="59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8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165"/>
      <c r="BS41" s="61"/>
      <c r="BV41" s="13"/>
      <c r="BW41" s="13"/>
      <c r="BX41" s="13"/>
      <c r="BY41" s="13"/>
    </row>
    <row r="42" spans="3:77" x14ac:dyDescent="0.2">
      <c r="C42" s="64"/>
      <c r="D42" t="s">
        <v>40</v>
      </c>
      <c r="F42" s="72">
        <v>4897.33</v>
      </c>
      <c r="G42" s="119"/>
      <c r="H42" s="72">
        <v>4943.46</v>
      </c>
      <c r="I42" s="8"/>
      <c r="J42" s="72">
        <v>5471.41</v>
      </c>
      <c r="L42" s="72">
        <v>5426.96</v>
      </c>
      <c r="M42" s="75"/>
      <c r="N42" s="75">
        <v>5370.84</v>
      </c>
      <c r="O42" s="75"/>
      <c r="P42" s="75">
        <v>5369.12</v>
      </c>
      <c r="Q42" s="75"/>
      <c r="R42" s="75">
        <v>5179.54</v>
      </c>
      <c r="S42" s="75"/>
      <c r="T42" s="75">
        <v>5426.58</v>
      </c>
      <c r="U42" s="75"/>
      <c r="V42" s="76">
        <v>5774.58</v>
      </c>
      <c r="W42" s="8"/>
      <c r="X42" s="76">
        <v>5774.58</v>
      </c>
      <c r="Y42" s="76"/>
      <c r="Z42" s="76">
        <v>6180.08</v>
      </c>
      <c r="AA42" s="8"/>
      <c r="AB42" s="76">
        <v>6559.96</v>
      </c>
      <c r="AC42" s="76"/>
      <c r="AD42" s="76">
        <v>6149.87</v>
      </c>
      <c r="AE42" s="76"/>
      <c r="AF42" s="77">
        <v>5648.81</v>
      </c>
      <c r="AG42" s="77"/>
      <c r="AH42" s="77">
        <v>5699.97</v>
      </c>
      <c r="AI42" s="78"/>
      <c r="AJ42" s="77"/>
      <c r="AK42" s="79"/>
      <c r="AL42" s="79">
        <f>AL38</f>
        <v>5955.51</v>
      </c>
      <c r="AM42" s="79"/>
      <c r="AN42" s="79">
        <v>5810.14</v>
      </c>
      <c r="AO42" s="79"/>
      <c r="AP42" s="77">
        <v>5838.66</v>
      </c>
      <c r="AQ42" s="77"/>
      <c r="AR42" s="57">
        <v>5635.82</v>
      </c>
      <c r="AS42" s="77"/>
      <c r="AT42" s="57">
        <v>5686.85</v>
      </c>
      <c r="AU42" s="77"/>
      <c r="AV42" s="57">
        <v>5510.6</v>
      </c>
      <c r="AW42" s="77"/>
      <c r="AX42" s="57">
        <v>5512.96</v>
      </c>
      <c r="AY42" s="77"/>
      <c r="AZ42" s="57">
        <v>5525</v>
      </c>
      <c r="BA42" s="77"/>
      <c r="BB42" s="57">
        <v>5508.48</v>
      </c>
      <c r="BC42" s="60"/>
      <c r="BD42" s="57">
        <v>5528.82</v>
      </c>
      <c r="BE42" s="77"/>
      <c r="BF42" s="57">
        <v>5621.16</v>
      </c>
      <c r="BG42" s="77"/>
      <c r="BH42" s="57">
        <v>5387.5</v>
      </c>
      <c r="BI42" s="77"/>
      <c r="BJ42" s="57">
        <f>5125-0.67</f>
        <v>5124.33</v>
      </c>
      <c r="BK42" s="57"/>
      <c r="BL42" s="57">
        <v>5192.2</v>
      </c>
      <c r="BM42" s="77"/>
      <c r="BN42" s="57">
        <f>5144.89-1.52</f>
        <v>5143.37</v>
      </c>
      <c r="BO42" s="77"/>
      <c r="BP42" s="57">
        <f>(5221.48*0.95)-201.31</f>
        <v>4759.0959999999986</v>
      </c>
      <c r="BQ42" s="77"/>
      <c r="BR42" s="165" t="s">
        <v>71</v>
      </c>
      <c r="BS42" s="61"/>
      <c r="BV42" s="13"/>
      <c r="BW42" s="13"/>
      <c r="BX42" s="13"/>
      <c r="BY42" s="13"/>
    </row>
    <row r="43" spans="3:77" x14ac:dyDescent="0.2">
      <c r="C43" s="62"/>
      <c r="D43" t="s">
        <v>42</v>
      </c>
      <c r="F43" s="72">
        <v>67.69</v>
      </c>
      <c r="G43" s="120"/>
      <c r="H43" s="72">
        <v>82.66</v>
      </c>
      <c r="I43" s="8"/>
      <c r="J43" s="121">
        <v>63.47</v>
      </c>
      <c r="K43" s="11"/>
      <c r="L43" s="121">
        <v>73.150000000000006</v>
      </c>
      <c r="M43" s="79"/>
      <c r="N43" s="79">
        <v>56.24</v>
      </c>
      <c r="O43" s="79"/>
      <c r="P43" s="79">
        <v>54.44</v>
      </c>
      <c r="Q43" s="79"/>
      <c r="R43" s="79">
        <v>46.46</v>
      </c>
      <c r="S43" s="79"/>
      <c r="T43" s="79">
        <v>37.92</v>
      </c>
      <c r="U43" s="79"/>
      <c r="V43" s="77">
        <v>43.74</v>
      </c>
      <c r="W43" s="8"/>
      <c r="X43" s="77">
        <v>43.74</v>
      </c>
      <c r="Y43" s="77"/>
      <c r="Z43" s="77">
        <v>44.83</v>
      </c>
      <c r="AA43" s="8"/>
      <c r="AB43" s="76">
        <v>54.8</v>
      </c>
      <c r="AC43" s="76"/>
      <c r="AD43" s="76">
        <v>54.86</v>
      </c>
      <c r="AE43" s="76"/>
      <c r="AF43" s="77">
        <v>119.42</v>
      </c>
      <c r="AG43" s="77"/>
      <c r="AH43" s="77">
        <v>111.01</v>
      </c>
      <c r="AI43" s="8"/>
      <c r="AJ43" s="77"/>
      <c r="AK43" s="79"/>
      <c r="AL43" s="79">
        <f>AL39</f>
        <v>50.21</v>
      </c>
      <c r="AM43" s="79"/>
      <c r="AN43" s="79">
        <v>61.2</v>
      </c>
      <c r="AO43" s="79"/>
      <c r="AP43" s="77">
        <v>93.94</v>
      </c>
      <c r="AQ43" s="77"/>
      <c r="AR43" s="57">
        <v>202.62</v>
      </c>
      <c r="AS43" s="77"/>
      <c r="AT43" s="57">
        <v>144.94</v>
      </c>
      <c r="AU43" s="77"/>
      <c r="AV43" s="57">
        <v>164</v>
      </c>
      <c r="AW43" s="77"/>
      <c r="AX43" s="57">
        <f>164+2.56</f>
        <v>166.56</v>
      </c>
      <c r="AY43" s="77"/>
      <c r="AZ43" s="57">
        <v>164</v>
      </c>
      <c r="BA43" s="77"/>
      <c r="BB43" s="57">
        <v>163.12</v>
      </c>
      <c r="BC43" s="8"/>
      <c r="BD43" s="57">
        <v>196.32</v>
      </c>
      <c r="BE43" s="77"/>
      <c r="BF43" s="57">
        <v>178.77</v>
      </c>
      <c r="BG43" s="77"/>
      <c r="BH43" s="57">
        <v>248.75</v>
      </c>
      <c r="BI43" s="77"/>
      <c r="BJ43" s="57">
        <f>BJ39</f>
        <v>207.51</v>
      </c>
      <c r="BK43" s="57"/>
      <c r="BL43" s="57">
        <v>216.45</v>
      </c>
      <c r="BM43" s="77"/>
      <c r="BN43" s="57">
        <v>238.78</v>
      </c>
      <c r="BO43" s="77"/>
      <c r="BP43" s="57">
        <v>201.31</v>
      </c>
      <c r="BQ43" s="77"/>
      <c r="BR43" s="165" t="s">
        <v>71</v>
      </c>
      <c r="BS43" s="61"/>
    </row>
    <row r="44" spans="3:77" x14ac:dyDescent="0.2">
      <c r="C44" s="64"/>
      <c r="D44" t="s">
        <v>43</v>
      </c>
      <c r="F44" s="53">
        <v>110.12</v>
      </c>
      <c r="H44" s="54">
        <v>147.35</v>
      </c>
      <c r="I44" s="8"/>
      <c r="J44" s="122">
        <v>156.55000000000001</v>
      </c>
      <c r="K44" s="11"/>
      <c r="L44" s="122">
        <v>162.04</v>
      </c>
      <c r="M44" s="59"/>
      <c r="N44" s="59">
        <v>113.22</v>
      </c>
      <c r="O44" s="59"/>
      <c r="P44" s="59">
        <v>214.85</v>
      </c>
      <c r="Q44" s="59"/>
      <c r="R44" s="59">
        <v>136.57</v>
      </c>
      <c r="S44" s="59"/>
      <c r="T44" s="59">
        <v>139.26</v>
      </c>
      <c r="U44" s="59"/>
      <c r="V44" s="57">
        <v>155.08000000000001</v>
      </c>
      <c r="W44" s="8"/>
      <c r="X44" s="57">
        <v>155.08000000000001</v>
      </c>
      <c r="Y44" s="57"/>
      <c r="Z44" s="57">
        <v>121.93</v>
      </c>
      <c r="AA44" s="8"/>
      <c r="AB44" s="76">
        <v>22.05</v>
      </c>
      <c r="AC44" s="76"/>
      <c r="AD44" s="76">
        <v>8.4600000000000009</v>
      </c>
      <c r="AE44" s="76"/>
      <c r="AF44" s="77">
        <v>9.17</v>
      </c>
      <c r="AG44" s="77"/>
      <c r="AH44" s="77">
        <v>13.83</v>
      </c>
      <c r="AI44" s="8"/>
      <c r="AJ44" s="77"/>
      <c r="AK44" s="79"/>
      <c r="AL44" s="79">
        <f>AL40</f>
        <v>13.1</v>
      </c>
      <c r="AM44" s="79"/>
      <c r="AN44" s="79">
        <v>13.5</v>
      </c>
      <c r="AO44" s="79"/>
      <c r="AP44" s="77">
        <v>12.44</v>
      </c>
      <c r="AQ44" s="77"/>
      <c r="AR44" s="57">
        <v>11.99</v>
      </c>
      <c r="AS44" s="77"/>
      <c r="AT44" s="57">
        <v>11.17</v>
      </c>
      <c r="AU44" s="77"/>
      <c r="AV44" s="57">
        <v>11.16</v>
      </c>
      <c r="AW44" s="77"/>
      <c r="AX44" s="57">
        <v>11.23</v>
      </c>
      <c r="AY44" s="77"/>
      <c r="AZ44" s="57">
        <v>11.16</v>
      </c>
      <c r="BA44" s="77"/>
      <c r="BB44" s="57">
        <v>10.7</v>
      </c>
      <c r="BC44" s="8"/>
      <c r="BD44" s="57">
        <v>10.7</v>
      </c>
      <c r="BE44" s="77"/>
      <c r="BF44" s="57">
        <v>9.0399999999999991</v>
      </c>
      <c r="BG44" s="77"/>
      <c r="BH44" s="57">
        <v>9.65</v>
      </c>
      <c r="BI44" s="77"/>
      <c r="BJ44" s="57">
        <f>BJ40-0.64</f>
        <v>7.87</v>
      </c>
      <c r="BK44" s="57"/>
      <c r="BL44" s="57">
        <v>8.51</v>
      </c>
      <c r="BM44" s="77"/>
      <c r="BN44" s="57">
        <v>8.36</v>
      </c>
      <c r="BO44" s="77"/>
      <c r="BP44" s="57">
        <v>7.92</v>
      </c>
      <c r="BQ44" s="77"/>
      <c r="BR44" s="165" t="s">
        <v>71</v>
      </c>
      <c r="BS44" s="61"/>
    </row>
    <row r="45" spans="3:77" ht="13.5" thickBot="1" x14ac:dyDescent="0.25">
      <c r="C45" s="64" t="s">
        <v>47</v>
      </c>
      <c r="F45" s="80">
        <v>0</v>
      </c>
      <c r="G45" s="13"/>
      <c r="H45" s="82">
        <v>106.61</v>
      </c>
      <c r="I45" s="123"/>
      <c r="J45" s="82">
        <v>2.59</v>
      </c>
      <c r="L45" s="82">
        <v>6.71</v>
      </c>
      <c r="M45" s="84"/>
      <c r="N45" s="85">
        <v>2.0699999999999998</v>
      </c>
      <c r="O45" s="84"/>
      <c r="P45" s="84">
        <v>0</v>
      </c>
      <c r="Q45" s="84"/>
      <c r="R45" s="84">
        <f>0.17+0.09</f>
        <v>0.26</v>
      </c>
      <c r="S45" s="84"/>
      <c r="T45" s="84">
        <v>2.9</v>
      </c>
      <c r="U45" s="84"/>
      <c r="V45" s="86">
        <v>36.99</v>
      </c>
      <c r="W45" s="8"/>
      <c r="X45" s="86">
        <v>36.99</v>
      </c>
      <c r="Y45" s="86"/>
      <c r="Z45" s="86">
        <v>4.16</v>
      </c>
      <c r="AA45" s="8"/>
      <c r="AB45" s="56">
        <v>2.44</v>
      </c>
      <c r="AC45" s="56"/>
      <c r="AD45" s="63">
        <v>0</v>
      </c>
      <c r="AE45" s="56"/>
      <c r="AF45" s="57">
        <v>1.37</v>
      </c>
      <c r="AG45" s="57"/>
      <c r="AH45" s="63">
        <v>0</v>
      </c>
      <c r="AI45" s="8"/>
      <c r="AJ45" s="57"/>
      <c r="AK45" s="59"/>
      <c r="AL45" s="59"/>
      <c r="AM45" s="59"/>
      <c r="AN45" s="63">
        <v>0</v>
      </c>
      <c r="AO45" s="63"/>
      <c r="AP45" s="63">
        <v>3.05</v>
      </c>
      <c r="AQ45" s="63"/>
      <c r="AR45" s="63">
        <v>8.8800000000000008</v>
      </c>
      <c r="AS45" s="63"/>
      <c r="AT45" s="63">
        <v>0</v>
      </c>
      <c r="AU45" s="63"/>
      <c r="AV45" s="63">
        <v>0</v>
      </c>
      <c r="AW45" s="63"/>
      <c r="AX45" s="63">
        <v>0</v>
      </c>
      <c r="AY45" s="63"/>
      <c r="AZ45" s="63">
        <v>0</v>
      </c>
      <c r="BA45" s="63"/>
      <c r="BB45" s="63">
        <v>1.1399999999999999</v>
      </c>
      <c r="BC45" s="87"/>
      <c r="BD45" s="63">
        <v>1.1399999999999999</v>
      </c>
      <c r="BE45" s="63"/>
      <c r="BF45" s="90">
        <v>0</v>
      </c>
      <c r="BG45" s="63"/>
      <c r="BH45" s="63">
        <v>6.9</v>
      </c>
      <c r="BI45" s="63"/>
      <c r="BJ45" s="63">
        <v>7</v>
      </c>
      <c r="BK45" s="63"/>
      <c r="BL45" s="63">
        <v>7</v>
      </c>
      <c r="BM45" s="63"/>
      <c r="BN45" s="63">
        <v>3.04</v>
      </c>
      <c r="BO45" s="63"/>
      <c r="BP45" s="90">
        <v>0</v>
      </c>
      <c r="BQ45" s="63"/>
      <c r="BR45" s="167"/>
      <c r="BS45" s="61"/>
    </row>
    <row r="46" spans="3:77" x14ac:dyDescent="0.2">
      <c r="C46" t="s">
        <v>44</v>
      </c>
      <c r="F46" s="81"/>
      <c r="G46" s="13"/>
      <c r="H46" s="89"/>
      <c r="I46" s="123"/>
      <c r="J46" s="89"/>
      <c r="L46" s="89"/>
      <c r="M46" s="84"/>
      <c r="N46" s="84"/>
      <c r="O46" s="84"/>
      <c r="P46" s="84">
        <v>91.83</v>
      </c>
      <c r="Q46" s="84"/>
      <c r="R46" s="84">
        <v>0</v>
      </c>
      <c r="S46" s="84"/>
      <c r="T46" s="84">
        <v>243.96</v>
      </c>
      <c r="U46" s="84"/>
      <c r="V46" s="86">
        <v>0</v>
      </c>
      <c r="W46" s="8"/>
      <c r="X46" s="86">
        <v>0</v>
      </c>
      <c r="Y46" s="86"/>
      <c r="Z46" s="86"/>
      <c r="AA46" s="8"/>
      <c r="AB46" s="86"/>
      <c r="AC46" s="86"/>
      <c r="AD46" s="86"/>
      <c r="AE46" s="86"/>
      <c r="AF46" s="90"/>
      <c r="AG46" s="90"/>
      <c r="AH46" s="90">
        <f>148.87+4.89</f>
        <v>153.76</v>
      </c>
      <c r="AI46" s="8"/>
      <c r="AJ46" s="90"/>
      <c r="AK46" s="91"/>
      <c r="AL46" s="91"/>
      <c r="AM46" s="91"/>
      <c r="AN46" s="91"/>
      <c r="AO46" s="91"/>
      <c r="AP46" s="90"/>
      <c r="AQ46" s="90"/>
      <c r="AR46" s="90">
        <v>107.45</v>
      </c>
      <c r="AS46" s="90"/>
      <c r="AT46" s="90">
        <v>630.29</v>
      </c>
      <c r="AU46" s="90"/>
      <c r="AV46" s="90">
        <f>12938.9-SUM(AV33:AV45)</f>
        <v>773.89999999999964</v>
      </c>
      <c r="AW46" s="90"/>
      <c r="AX46" s="90">
        <f>12938.9-SUM(AX33:AX45)</f>
        <v>768.90999999999985</v>
      </c>
      <c r="AY46" s="90"/>
      <c r="AZ46" s="90">
        <f>12938.9-0.54-8.59+0.01-SUM(AZ33:AZ45)</f>
        <v>743.82999999999811</v>
      </c>
      <c r="BA46" s="90"/>
      <c r="BB46" s="90">
        <f>429.59+232.82</f>
        <v>662.41</v>
      </c>
      <c r="BC46" s="87"/>
      <c r="BD46" s="90">
        <v>661.44</v>
      </c>
      <c r="BE46" s="90"/>
      <c r="BF46" s="90">
        <v>756.04</v>
      </c>
      <c r="BG46" s="90"/>
      <c r="BH46" s="90">
        <v>0</v>
      </c>
      <c r="BI46" s="90"/>
      <c r="BJ46" s="90">
        <v>0</v>
      </c>
      <c r="BK46" s="90"/>
      <c r="BL46" s="90">
        <v>0</v>
      </c>
      <c r="BM46" s="90"/>
      <c r="BN46" s="90">
        <v>0</v>
      </c>
      <c r="BO46" s="90"/>
      <c r="BP46" s="90">
        <v>0</v>
      </c>
      <c r="BQ46" s="90"/>
      <c r="BR46" s="165"/>
      <c r="BS46" s="88"/>
      <c r="BT46" s="169"/>
    </row>
    <row r="47" spans="3:77" ht="13.5" thickBot="1" x14ac:dyDescent="0.25">
      <c r="C47" s="211" t="s">
        <v>64</v>
      </c>
      <c r="D47" s="211"/>
      <c r="F47" s="81"/>
      <c r="G47" s="81"/>
      <c r="H47" s="89"/>
      <c r="I47" s="83"/>
      <c r="J47" s="89"/>
      <c r="L47" s="89"/>
      <c r="M47" s="84"/>
      <c r="N47" s="84"/>
      <c r="O47" s="84"/>
      <c r="P47" s="84"/>
      <c r="Q47" s="84"/>
      <c r="R47" s="84"/>
      <c r="S47" s="84"/>
      <c r="T47" s="84"/>
      <c r="U47" s="84"/>
      <c r="V47" s="86"/>
      <c r="W47" s="8"/>
      <c r="X47" s="86"/>
      <c r="Y47" s="86"/>
      <c r="Z47" s="86"/>
      <c r="AA47" s="8"/>
      <c r="AB47" s="86"/>
      <c r="AC47" s="86"/>
      <c r="AD47" s="86"/>
      <c r="AE47" s="86"/>
      <c r="AF47" s="90"/>
      <c r="AG47" s="90"/>
      <c r="AH47" s="90"/>
      <c r="AI47" s="8"/>
      <c r="AJ47" s="90"/>
      <c r="AK47" s="91"/>
      <c r="AL47" s="91"/>
      <c r="AM47" s="91"/>
      <c r="AN47" s="91"/>
      <c r="AO47" s="91"/>
      <c r="AP47" s="90"/>
      <c r="AQ47" s="90"/>
      <c r="AR47" s="90"/>
      <c r="AS47" s="90"/>
      <c r="AT47" s="63"/>
      <c r="AU47" s="90"/>
      <c r="AV47" s="63"/>
      <c r="AW47" s="90"/>
      <c r="AX47" s="63"/>
      <c r="AY47" s="90"/>
      <c r="AZ47" s="63"/>
      <c r="BA47" s="90"/>
      <c r="BB47" s="63">
        <v>87.11</v>
      </c>
      <c r="BC47" s="87"/>
      <c r="BD47" s="90">
        <v>0</v>
      </c>
      <c r="BE47" s="90"/>
      <c r="BF47" s="90">
        <v>0</v>
      </c>
      <c r="BG47" s="90"/>
      <c r="BH47" s="197">
        <v>-213.92</v>
      </c>
      <c r="BI47" s="90"/>
      <c r="BJ47" s="63"/>
      <c r="BK47" s="63"/>
      <c r="BL47" s="63"/>
      <c r="BM47" s="90"/>
      <c r="BN47" s="90">
        <v>0</v>
      </c>
      <c r="BO47" s="90"/>
      <c r="BP47" s="90">
        <v>0</v>
      </c>
      <c r="BQ47" s="90"/>
      <c r="BR47" s="167"/>
      <c r="BS47" s="88"/>
    </row>
    <row r="48" spans="3:77" s="13" customFormat="1" ht="18" customHeight="1" x14ac:dyDescent="0.2">
      <c r="C48" s="161"/>
      <c r="D48" s="13" t="s">
        <v>48</v>
      </c>
      <c r="F48" s="84">
        <f>SUM(F33:F45)</f>
        <v>11476.490000000002</v>
      </c>
      <c r="G48" s="93"/>
      <c r="H48" s="84">
        <f>SUM(H33:H45)</f>
        <v>11365.480000000001</v>
      </c>
      <c r="I48" s="94"/>
      <c r="J48" s="84">
        <f>SUM(J33:J45)</f>
        <v>12016.039999999999</v>
      </c>
      <c r="L48" s="84">
        <f>SUM(L33:L45)</f>
        <v>12709.31</v>
      </c>
      <c r="M48" s="84"/>
      <c r="N48" s="84">
        <f>SUM(N33:N45)</f>
        <v>12495.38</v>
      </c>
      <c r="O48" s="84"/>
      <c r="P48" s="205">
        <f>SUM(P33:P46)</f>
        <v>12543.94</v>
      </c>
      <c r="Q48" s="84"/>
      <c r="R48" s="205">
        <f>SUM(R33:R46)</f>
        <v>11824.46</v>
      </c>
      <c r="S48" s="84"/>
      <c r="T48" s="205">
        <f>SUM(T33:T46)</f>
        <v>12458.949999999999</v>
      </c>
      <c r="U48" s="84"/>
      <c r="V48" s="206">
        <f>SUM(V33:V46)</f>
        <v>12796.17</v>
      </c>
      <c r="W48" s="95"/>
      <c r="X48" s="206">
        <f>SUM(X33:X46)</f>
        <v>13040.13</v>
      </c>
      <c r="Y48" s="86"/>
      <c r="Z48" s="206">
        <f>SUM(Z33:Z46)</f>
        <v>13441.960000000001</v>
      </c>
      <c r="AA48" s="95"/>
      <c r="AB48" s="206">
        <f>SUM(AB33:AB46)</f>
        <v>14440.519999999999</v>
      </c>
      <c r="AC48" s="86"/>
      <c r="AD48" s="206">
        <f>SUM(AD33:AD46)</f>
        <v>13203.09</v>
      </c>
      <c r="AE48" s="86"/>
      <c r="AF48" s="207">
        <f>SUM(AF33:AF46)</f>
        <v>12474.380000000001</v>
      </c>
      <c r="AG48" s="90"/>
      <c r="AH48" s="207">
        <f>SUM(AH33:AH46)</f>
        <v>11745.25</v>
      </c>
      <c r="AI48" s="95"/>
      <c r="AJ48" s="207">
        <f>SUM(AJ33:AJ46)</f>
        <v>6397.08</v>
      </c>
      <c r="AK48" s="91"/>
      <c r="AL48" s="208">
        <f>SUM(AL33:AL46)</f>
        <v>12392.960000000001</v>
      </c>
      <c r="AM48" s="91"/>
      <c r="AN48" s="208">
        <f>SUM(AN33:AN46)</f>
        <v>12259.2</v>
      </c>
      <c r="AO48" s="91"/>
      <c r="AP48" s="207">
        <f>SUM(AP33:AP46)</f>
        <v>12396.8</v>
      </c>
      <c r="AQ48" s="90"/>
      <c r="AR48" s="207">
        <f>SUM(AR33:AR46)</f>
        <v>12561.68</v>
      </c>
      <c r="AS48" s="90"/>
      <c r="AT48" s="207">
        <f>SUM(AT33:AT46)</f>
        <v>12938.900000000001</v>
      </c>
      <c r="AU48" s="90"/>
      <c r="AV48" s="207">
        <f>SUM(AV33:AV46)</f>
        <v>12938.9</v>
      </c>
      <c r="AW48" s="90"/>
      <c r="AX48" s="207">
        <f>SUM(AX33:AX46)</f>
        <v>12938.9</v>
      </c>
      <c r="AY48" s="90"/>
      <c r="AZ48" s="207">
        <f>SUM(AZ33:AZ46)</f>
        <v>12929.779999999999</v>
      </c>
      <c r="BA48" s="90"/>
      <c r="BB48" s="207">
        <f>SUM(BB33:BB46)</f>
        <v>12849.54</v>
      </c>
      <c r="BD48" s="207">
        <f>SUM(BD33:BD47)</f>
        <v>12932.380000000001</v>
      </c>
      <c r="BE48" s="90"/>
      <c r="BF48" s="207">
        <f>SUM(BF33:BF47)</f>
        <v>12670.050000000003</v>
      </c>
      <c r="BG48" s="90"/>
      <c r="BH48" s="207">
        <f>SUM(BH33:BH47)-0.02</f>
        <v>11381.98</v>
      </c>
      <c r="BI48" s="90"/>
      <c r="BJ48" s="207">
        <f>SUM(BJ33:BJ46)</f>
        <v>12037.740000000002</v>
      </c>
      <c r="BK48" s="90"/>
      <c r="BL48" s="207">
        <f>SUM(BL33:BL46)</f>
        <v>12147.570000000002</v>
      </c>
      <c r="BM48" s="90"/>
      <c r="BN48" s="207">
        <f>SUM(BN33:BN47)</f>
        <v>12117.12</v>
      </c>
      <c r="BO48" s="90"/>
      <c r="BP48" s="207">
        <f>SUM(BP33:BP47)</f>
        <v>11155.495999999999</v>
      </c>
      <c r="BQ48" s="90"/>
      <c r="BS48" s="97"/>
      <c r="BT48" s="210"/>
    </row>
    <row r="49" spans="2:72" ht="5.45" customHeight="1" x14ac:dyDescent="0.2">
      <c r="C49" s="64"/>
      <c r="F49" s="84"/>
      <c r="G49" s="93"/>
      <c r="H49" s="84"/>
      <c r="I49" s="94"/>
      <c r="J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6"/>
      <c r="W49" s="95"/>
      <c r="X49" s="86"/>
      <c r="Y49" s="86"/>
      <c r="Z49" s="86"/>
      <c r="AA49" s="95"/>
      <c r="AB49" s="86"/>
      <c r="AC49" s="86"/>
      <c r="AD49" s="86"/>
      <c r="AE49" s="86"/>
      <c r="AF49" s="90"/>
      <c r="AG49" s="90"/>
      <c r="AH49" s="90"/>
      <c r="AI49" s="95"/>
      <c r="AJ49" s="90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5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8"/>
      <c r="BS49" s="98"/>
    </row>
    <row r="50" spans="2:72" ht="17.25" hidden="1" customHeight="1" x14ac:dyDescent="0.2">
      <c r="C50" s="64"/>
      <c r="D50" s="99" t="s">
        <v>49</v>
      </c>
      <c r="E50" s="100"/>
      <c r="F50" s="101"/>
      <c r="G50" s="100"/>
      <c r="H50" s="101"/>
      <c r="I50" s="8"/>
      <c r="J50" s="101"/>
      <c r="L50" s="101"/>
      <c r="M50" s="51"/>
      <c r="N50" s="101"/>
      <c r="O50" s="51"/>
      <c r="P50" s="101"/>
      <c r="Q50" s="51"/>
      <c r="R50" s="101">
        <f xml:space="preserve"> ROUND((R42/R38),4)</f>
        <v>0.96050000000000002</v>
      </c>
      <c r="S50" s="51"/>
      <c r="T50" s="101">
        <f xml:space="preserve"> ROUND((T42/T38),4)</f>
        <v>0.99229999999999996</v>
      </c>
      <c r="U50" s="101"/>
      <c r="V50" s="74">
        <f xml:space="preserve"> ROUND((V42/V38),4)</f>
        <v>0.99419999999999997</v>
      </c>
      <c r="W50" s="8"/>
      <c r="X50" s="74">
        <f xml:space="preserve"> ROUND((X42/X38),4)</f>
        <v>0.99419999999999997</v>
      </c>
      <c r="Y50" s="74"/>
      <c r="Z50" s="74">
        <f xml:space="preserve"> ROUND((Z42/Z38),4)</f>
        <v>1.0431999999999999</v>
      </c>
      <c r="AA50" s="8"/>
      <c r="AB50" s="74">
        <f xml:space="preserve"> ROUND((AB42/AB38),4)</f>
        <v>1.0078</v>
      </c>
      <c r="AC50" s="74"/>
      <c r="AD50" s="74">
        <f xml:space="preserve"> ROUND((AD42/AD38),4)</f>
        <v>0.99439999999999995</v>
      </c>
      <c r="AE50" s="74"/>
      <c r="AF50" s="102">
        <f xml:space="preserve"> ROUND((AF42/AF38),4)</f>
        <v>0.9113</v>
      </c>
      <c r="AG50" s="102"/>
      <c r="AH50" s="102">
        <f xml:space="preserve"> ROUND((AH42/AH38),4)</f>
        <v>1.0186999999999999</v>
      </c>
      <c r="AI50" s="8"/>
      <c r="AJ50" s="102"/>
      <c r="AK50" s="103"/>
      <c r="AL50" s="102">
        <f xml:space="preserve"> ROUND((AL42/AL38),4)</f>
        <v>1</v>
      </c>
      <c r="AM50" s="102"/>
      <c r="AN50" s="102">
        <f xml:space="preserve"> ROUND((AN42/AN38),4)</f>
        <v>0.97560000000000002</v>
      </c>
      <c r="AO50" s="102"/>
      <c r="AP50" s="102">
        <f xml:space="preserve"> ROUND((AP42/AP38),4)</f>
        <v>0.9728</v>
      </c>
      <c r="AQ50" s="102"/>
      <c r="AR50" s="102">
        <f xml:space="preserve"> ROUND((AR42/AR38),4)</f>
        <v>0.95479999999999998</v>
      </c>
      <c r="AS50" s="102"/>
      <c r="AT50" s="102">
        <f xml:space="preserve"> ROUND((AT42/AT38),4)</f>
        <v>1</v>
      </c>
      <c r="AU50" s="102"/>
      <c r="AV50" s="102">
        <f xml:space="preserve"> ROUND((AV42/AV38),4)</f>
        <v>0.96879999999999999</v>
      </c>
      <c r="AW50" s="102"/>
      <c r="AX50" s="102">
        <f xml:space="preserve"> ROUND((AX42/AX38),4)</f>
        <v>0.96919999999999995</v>
      </c>
      <c r="AY50" s="102"/>
      <c r="AZ50" s="102">
        <f xml:space="preserve"> ROUND((AZ42/AZ38),4)</f>
        <v>0.97140000000000004</v>
      </c>
      <c r="BA50" s="102"/>
      <c r="BB50" s="102">
        <f xml:space="preserve"> ROUND((BB42/BB38),4)</f>
        <v>0.96840000000000004</v>
      </c>
      <c r="BC50" s="8"/>
      <c r="BD50" s="102">
        <f xml:space="preserve"> ROUND((BD42/BD38),4)</f>
        <v>0.96689999999999998</v>
      </c>
      <c r="BE50" s="102"/>
      <c r="BF50" s="102">
        <f xml:space="preserve"> ROUND((BF42/BF38),4)</f>
        <v>0.9748</v>
      </c>
      <c r="BG50" s="102"/>
      <c r="BH50" s="102">
        <f xml:space="preserve"> ROUND((BH42/BH38),4)</f>
        <v>0.96360000000000001</v>
      </c>
      <c r="BI50" s="102"/>
      <c r="BJ50" s="102">
        <f xml:space="preserve"> ROUND((BJ42/BJ38),4)</f>
        <v>0.92649999999999999</v>
      </c>
      <c r="BK50" s="102"/>
      <c r="BL50" s="102">
        <f xml:space="preserve"> ROUND((BL42/BL38),4)</f>
        <v>0.93559999999999999</v>
      </c>
      <c r="BM50" s="102"/>
      <c r="BN50" s="102">
        <f xml:space="preserve"> ROUND((BN42/BN38),4)</f>
        <v>0.92679999999999996</v>
      </c>
      <c r="BO50" s="102"/>
      <c r="BP50" s="102">
        <f xml:space="preserve"> ROUND((BP42/BP38),4)</f>
        <v>0.93100000000000005</v>
      </c>
      <c r="BQ50" s="102"/>
      <c r="BR50" s="124"/>
      <c r="BS50" s="124"/>
    </row>
    <row r="51" spans="2:72" ht="13.5" customHeight="1" thickBot="1" x14ac:dyDescent="0.25">
      <c r="C51" s="64"/>
      <c r="D51" s="100" t="s">
        <v>50</v>
      </c>
      <c r="E51" s="100"/>
      <c r="F51" s="101"/>
      <c r="G51" s="100"/>
      <c r="H51" s="101"/>
      <c r="I51" s="8"/>
      <c r="J51" s="101"/>
      <c r="L51" s="101"/>
      <c r="M51" s="51"/>
      <c r="N51" s="101"/>
      <c r="O51" s="51"/>
      <c r="P51" s="101"/>
      <c r="Q51" s="51"/>
      <c r="R51" s="105">
        <v>11875.96</v>
      </c>
      <c r="S51" s="51"/>
      <c r="T51" s="105">
        <v>12516.05</v>
      </c>
      <c r="U51" s="8"/>
      <c r="V51" s="105">
        <v>12864.4</v>
      </c>
      <c r="W51" s="8"/>
      <c r="X51" s="105">
        <f>X48+68.23</f>
        <v>13108.359999999999</v>
      </c>
      <c r="Y51" s="105"/>
      <c r="Z51" s="105">
        <v>13522.55</v>
      </c>
      <c r="AA51" s="8"/>
      <c r="AB51" s="105">
        <v>14498.32</v>
      </c>
      <c r="AC51" s="105"/>
      <c r="AD51" s="105">
        <f>AD48+45.27</f>
        <v>13248.36</v>
      </c>
      <c r="AE51" s="105"/>
      <c r="AF51" s="106">
        <v>12521.83</v>
      </c>
      <c r="AG51" s="106"/>
      <c r="AH51" s="106">
        <f>AH48+57.64</f>
        <v>11802.89</v>
      </c>
      <c r="AI51" s="8"/>
      <c r="AJ51" s="106"/>
      <c r="AK51" s="107"/>
      <c r="AL51" s="106">
        <f>AL48+43.59</f>
        <v>12436.550000000001</v>
      </c>
      <c r="AM51" s="106"/>
      <c r="AN51" s="106">
        <f>AN48+43.59</f>
        <v>12302.79</v>
      </c>
      <c r="AO51" s="106"/>
      <c r="AP51" s="106">
        <f>AP48+53.81+0.74</f>
        <v>12451.349999999999</v>
      </c>
      <c r="AQ51" s="106"/>
      <c r="AR51" s="108">
        <f>AR48+56.43</f>
        <v>12618.11</v>
      </c>
      <c r="AS51" s="106"/>
      <c r="AT51" s="108">
        <f>AT48+57.1</f>
        <v>12996.000000000002</v>
      </c>
      <c r="AU51" s="106"/>
      <c r="AV51" s="108">
        <f>AV48+57.1</f>
        <v>12996</v>
      </c>
      <c r="AW51" s="106"/>
      <c r="AX51" s="108">
        <f>AX48+57.1</f>
        <v>12996</v>
      </c>
      <c r="AY51" s="106"/>
      <c r="AZ51" s="108">
        <f>AZ48+66.23-0.01</f>
        <v>12995.999999999998</v>
      </c>
      <c r="BA51" s="106"/>
      <c r="BB51" s="108">
        <f>BB48+65.86</f>
        <v>12915.400000000001</v>
      </c>
      <c r="BC51" s="8"/>
      <c r="BD51" s="209">
        <f>BD48+67.83</f>
        <v>13000.210000000001</v>
      </c>
      <c r="BE51" s="106"/>
      <c r="BF51" s="209">
        <f>BF48+57.1+20.08</f>
        <v>12747.230000000003</v>
      </c>
      <c r="BG51" s="106"/>
      <c r="BH51" s="209">
        <f>BH48+90.81</f>
        <v>11472.789999999999</v>
      </c>
      <c r="BI51" s="106"/>
      <c r="BJ51" s="108">
        <f>BJ48+78.98</f>
        <v>12116.720000000001</v>
      </c>
      <c r="BK51" s="108"/>
      <c r="BL51" s="108">
        <v>12242.27</v>
      </c>
      <c r="BM51" s="106"/>
      <c r="BN51" s="209">
        <v>12210.77</v>
      </c>
      <c r="BO51" s="106"/>
      <c r="BP51" s="209">
        <f>(BN51/BN48)*BP48</f>
        <v>11241.713863683779</v>
      </c>
      <c r="BQ51" s="106"/>
      <c r="BR51" s="204">
        <v>12157</v>
      </c>
      <c r="BS51" s="97"/>
    </row>
    <row r="52" spans="2:72" ht="13.5" customHeight="1" thickTop="1" x14ac:dyDescent="0.2">
      <c r="C52" s="64"/>
      <c r="D52" s="8" t="s">
        <v>51</v>
      </c>
      <c r="E52" s="100"/>
      <c r="F52" s="101"/>
      <c r="G52" s="100"/>
      <c r="H52" s="101"/>
      <c r="I52" s="8"/>
      <c r="J52" s="101"/>
      <c r="L52" s="101"/>
      <c r="M52" s="51"/>
      <c r="N52" s="101"/>
      <c r="O52" s="51"/>
      <c r="P52" s="101"/>
      <c r="Q52" s="51"/>
      <c r="R52" s="105"/>
      <c r="S52" s="51"/>
      <c r="T52" s="105"/>
      <c r="U52" s="8"/>
      <c r="V52" s="105"/>
      <c r="W52" s="8"/>
      <c r="X52" s="105"/>
      <c r="Y52" s="105"/>
      <c r="Z52" s="110"/>
      <c r="AA52" s="8"/>
      <c r="AB52" s="110">
        <f>(AB51-Z51)/Z51</f>
        <v>7.2158727458948232E-2</v>
      </c>
      <c r="AC52" s="110"/>
      <c r="AD52" s="110">
        <f>(AD51-AB51)/AB51</f>
        <v>-8.6214126878148584E-2</v>
      </c>
      <c r="AE52" s="110"/>
      <c r="AF52" s="111">
        <f>(AF51-AD51)/AD51</f>
        <v>-5.483924047957639E-2</v>
      </c>
      <c r="AG52" s="111"/>
      <c r="AH52" s="111">
        <f>(AH51-AF51)/AF51</f>
        <v>-5.7414930565260869E-2</v>
      </c>
      <c r="AI52" s="8"/>
      <c r="AJ52" s="111"/>
      <c r="AK52" s="112"/>
      <c r="AL52" s="111">
        <f>(AL51-AH51)/AH51</f>
        <v>5.3686851271171863E-2</v>
      </c>
      <c r="AM52" s="111"/>
      <c r="AN52" s="111">
        <f>(AN51-AH51)/AH51</f>
        <v>4.2354033630746496E-2</v>
      </c>
      <c r="AO52" s="111"/>
      <c r="AP52" s="111">
        <f>(AP51-AH51)/AH51</f>
        <v>5.4940781452678042E-2</v>
      </c>
      <c r="AQ52" s="111"/>
      <c r="AR52" s="111">
        <f>(AR51-AP51)/AP51</f>
        <v>1.3392925265132059E-2</v>
      </c>
      <c r="AS52" s="111"/>
      <c r="AT52" s="111">
        <f>(AT51-AR51)/AR51</f>
        <v>2.9948225209639259E-2</v>
      </c>
      <c r="AU52" s="111"/>
      <c r="AV52" s="111">
        <f>(AV51-AT51)/AT51</f>
        <v>-1.3996532806600924E-16</v>
      </c>
      <c r="AW52" s="111"/>
      <c r="AX52" s="111">
        <f>(AX51-AV51)/AV51</f>
        <v>0</v>
      </c>
      <c r="AY52" s="111"/>
      <c r="AZ52" s="111">
        <f>(AZ51-AX51)/AX51</f>
        <v>-1.3996532806600927E-16</v>
      </c>
      <c r="BA52" s="111"/>
      <c r="BB52" s="111">
        <f>(BB51-AZ51)/AZ51</f>
        <v>-6.2019082794703556E-3</v>
      </c>
      <c r="BC52" s="8"/>
      <c r="BD52" s="201">
        <f>(BD51-BB51)/BB51</f>
        <v>6.5665794323055797E-3</v>
      </c>
      <c r="BE52" s="200"/>
      <c r="BF52" s="198">
        <f>(BF51-BD51)/BD51</f>
        <v>-1.9459685651231611E-2</v>
      </c>
      <c r="BG52" s="200"/>
      <c r="BH52" s="198">
        <f>(BH51-BF51)/BF51</f>
        <v>-9.997779909831421E-2</v>
      </c>
      <c r="BI52" s="200"/>
      <c r="BJ52" s="200">
        <f>(BJ51-BH51)/BH51</f>
        <v>5.6126713728744462E-2</v>
      </c>
      <c r="BK52" s="200"/>
      <c r="BL52" s="200">
        <f>(BL51-BH51)/BH51</f>
        <v>6.7069997794782385E-2</v>
      </c>
      <c r="BM52" s="200"/>
      <c r="BN52" s="201">
        <f>(BN51-BH51)/BH51</f>
        <v>6.4324370968177877E-2</v>
      </c>
      <c r="BO52" s="200"/>
      <c r="BP52" s="198">
        <f>(BP51-BN51)/BN51</f>
        <v>-7.9360772196693685E-2</v>
      </c>
      <c r="BQ52" s="111"/>
      <c r="BR52" s="155"/>
      <c r="BS52" s="164"/>
      <c r="BT52" s="53"/>
    </row>
    <row r="53" spans="2:72" ht="12.75" hidden="1" customHeight="1" x14ac:dyDescent="0.2">
      <c r="B53" s="51"/>
      <c r="C53" s="64"/>
      <c r="F53" s="113"/>
      <c r="G53" s="113"/>
      <c r="H53" s="113"/>
      <c r="I53" s="8"/>
      <c r="J53" s="51"/>
      <c r="L53" s="51"/>
      <c r="M53" s="51"/>
      <c r="N53" s="51"/>
      <c r="O53" s="51"/>
      <c r="P53" s="51"/>
      <c r="Q53" s="51"/>
      <c r="R53" s="51"/>
      <c r="S53" s="51"/>
      <c r="T53" s="51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7"/>
      <c r="AG53" s="87"/>
      <c r="AH53" s="87"/>
      <c r="AI53" s="8"/>
      <c r="AJ53" s="87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8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</row>
    <row r="54" spans="2:72" ht="13.5" hidden="1" thickBot="1" x14ac:dyDescent="0.25">
      <c r="C54" s="64"/>
      <c r="D54" t="s">
        <v>48</v>
      </c>
      <c r="F54" s="72"/>
      <c r="G54" s="120"/>
      <c r="H54" s="72"/>
      <c r="I54" s="8"/>
      <c r="J54" s="121"/>
      <c r="K54" s="11"/>
      <c r="L54" s="121"/>
      <c r="M54" s="79"/>
      <c r="N54" s="79"/>
      <c r="O54" s="79"/>
      <c r="P54" s="79"/>
      <c r="Q54" s="79"/>
      <c r="R54" s="79"/>
      <c r="S54" s="79"/>
      <c r="T54" s="79"/>
      <c r="U54" s="79"/>
      <c r="V54" s="77"/>
      <c r="W54" s="8"/>
      <c r="X54" s="77"/>
      <c r="Y54" s="77"/>
      <c r="Z54" s="77"/>
      <c r="AA54" s="8"/>
      <c r="AB54" s="76"/>
      <c r="AC54" s="76"/>
      <c r="AD54" s="76"/>
      <c r="AE54" s="76"/>
      <c r="AF54" s="77"/>
      <c r="AG54" s="77"/>
      <c r="AH54" s="77"/>
      <c r="AI54" s="8"/>
      <c r="AJ54" s="77"/>
      <c r="AK54" s="79"/>
      <c r="AL54" s="79"/>
      <c r="AM54" s="79"/>
      <c r="AN54" s="79"/>
      <c r="AO54" s="79"/>
      <c r="AP54" s="77"/>
      <c r="AQ54" s="77"/>
      <c r="AR54" s="57"/>
      <c r="AS54" s="77"/>
      <c r="AT54" s="57"/>
      <c r="AU54" s="77"/>
      <c r="AV54" s="57"/>
      <c r="AW54" s="77"/>
      <c r="AX54" s="57"/>
      <c r="AY54" s="77"/>
      <c r="AZ54" s="57"/>
      <c r="BA54" s="77"/>
      <c r="BB54" s="57"/>
      <c r="BC54" s="8"/>
      <c r="BD54" s="96">
        <v>0</v>
      </c>
      <c r="BE54" s="77"/>
      <c r="BF54" s="96">
        <v>0</v>
      </c>
      <c r="BG54" s="77"/>
      <c r="BH54" s="96">
        <v>0</v>
      </c>
      <c r="BI54" s="77"/>
      <c r="BJ54" s="96">
        <v>0</v>
      </c>
      <c r="BK54" s="90"/>
      <c r="BL54" s="96"/>
      <c r="BM54" s="77"/>
      <c r="BN54" s="96"/>
      <c r="BO54" s="77"/>
      <c r="BP54" s="96"/>
      <c r="BQ54" s="77"/>
      <c r="BR54" s="165"/>
      <c r="BS54" s="61"/>
    </row>
    <row r="55" spans="2:72" ht="17.25" customHeight="1" x14ac:dyDescent="0.2">
      <c r="B55" s="51" t="s">
        <v>53</v>
      </c>
      <c r="C55" s="64"/>
      <c r="H55" s="51"/>
      <c r="I55" s="8"/>
      <c r="J55" s="51"/>
      <c r="L55" s="51"/>
      <c r="M55" s="51"/>
      <c r="N55" s="51"/>
      <c r="O55" s="51"/>
      <c r="P55" s="51"/>
      <c r="Q55" s="51"/>
      <c r="R55" s="51"/>
      <c r="S55" s="51"/>
      <c r="T55" s="51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7"/>
      <c r="AG55" s="87"/>
      <c r="AH55" s="87"/>
      <c r="AI55" s="8"/>
      <c r="AJ55" s="87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8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93"/>
    </row>
    <row r="56" spans="2:72" x14ac:dyDescent="0.2">
      <c r="C56" s="64" t="s">
        <v>39</v>
      </c>
      <c r="H56" s="51"/>
      <c r="I56" s="8"/>
      <c r="J56" s="51"/>
      <c r="L56" s="51"/>
      <c r="M56" s="51"/>
      <c r="N56" s="51"/>
      <c r="O56" s="51"/>
      <c r="P56" s="51"/>
      <c r="Q56" s="51"/>
      <c r="R56" s="51"/>
      <c r="S56" s="51"/>
      <c r="T56" s="51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7"/>
      <c r="AG56" s="87"/>
      <c r="AH56" s="87"/>
      <c r="AI56" s="8"/>
      <c r="AJ56" s="87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8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</row>
    <row r="57" spans="2:72" x14ac:dyDescent="0.2">
      <c r="C57" s="64"/>
      <c r="D57" t="s">
        <v>40</v>
      </c>
      <c r="F57" s="53">
        <f>F11+F33</f>
        <v>1165.23</v>
      </c>
      <c r="G57" s="117"/>
      <c r="H57" s="54">
        <f>H11+H33</f>
        <v>1126.4099999999999</v>
      </c>
      <c r="I57" s="105"/>
      <c r="J57" s="54">
        <f>J11+J33</f>
        <v>1055.0899999999999</v>
      </c>
      <c r="K57" s="51" t="s">
        <v>41</v>
      </c>
      <c r="L57" s="54">
        <f>L11+L33</f>
        <v>1303.21</v>
      </c>
      <c r="M57" s="55" t="s">
        <v>41</v>
      </c>
      <c r="N57" s="55">
        <f>N11+N33</f>
        <v>1321.08</v>
      </c>
      <c r="O57" s="55"/>
      <c r="P57" s="55">
        <f>P11+P33</f>
        <v>1224.1599999999999</v>
      </c>
      <c r="Q57" s="55"/>
      <c r="R57" s="55">
        <f>R11+R33</f>
        <v>1047.54</v>
      </c>
      <c r="S57" s="55"/>
      <c r="T57" s="55">
        <f>T11+T33</f>
        <v>1224.4000000000001</v>
      </c>
      <c r="U57" s="55"/>
      <c r="V57" s="56">
        <f>V11+V33</f>
        <v>1346.3500000000001</v>
      </c>
      <c r="W57" s="105"/>
      <c r="X57" s="56">
        <f>X11+X33</f>
        <v>1346.3500000000001</v>
      </c>
      <c r="Y57" s="56"/>
      <c r="Z57" s="56">
        <f>Z11+Z33</f>
        <v>1338.33</v>
      </c>
      <c r="AA57" s="105"/>
      <c r="AB57" s="56">
        <f>AB11+AB33</f>
        <v>1585.1</v>
      </c>
      <c r="AC57" s="56"/>
      <c r="AD57" s="56">
        <f>AD11+AD33</f>
        <v>954.32999999999993</v>
      </c>
      <c r="AE57" s="56"/>
      <c r="AF57" s="57">
        <f>AF11+AF33</f>
        <v>490.09000000000003</v>
      </c>
      <c r="AG57" s="57"/>
      <c r="AH57" s="57">
        <f>AH11+AH33</f>
        <v>198.45</v>
      </c>
      <c r="AI57" s="78"/>
      <c r="AJ57" s="57">
        <f>AJ11+AJ33</f>
        <v>865.87</v>
      </c>
      <c r="AK57" s="59"/>
      <c r="AL57" s="59">
        <f>AL11+AL33</f>
        <v>865.87</v>
      </c>
      <c r="AM57" s="59"/>
      <c r="AN57" s="59">
        <f>AN11+AN33</f>
        <v>866.54</v>
      </c>
      <c r="AO57" s="59"/>
      <c r="AP57" s="57">
        <f>AP11+AP33</f>
        <v>866.54</v>
      </c>
      <c r="AQ57" s="57"/>
      <c r="AR57" s="57">
        <f>AR11+AR33</f>
        <v>887.82999999999993</v>
      </c>
      <c r="AS57" s="57"/>
      <c r="AT57" s="57">
        <f>AT11+AT33</f>
        <v>1015.96</v>
      </c>
      <c r="AU57" s="57"/>
      <c r="AV57" s="57">
        <f>AV11+AV33</f>
        <v>1015.99</v>
      </c>
      <c r="AW57" s="57"/>
      <c r="AX57" s="57">
        <f>AX11+AX33</f>
        <v>1015.99</v>
      </c>
      <c r="AY57" s="57"/>
      <c r="AZ57" s="57">
        <f>AZ11+AZ33</f>
        <v>1015.99</v>
      </c>
      <c r="BA57" s="57"/>
      <c r="BB57" s="57">
        <f>BB11+BB33</f>
        <v>1015.99</v>
      </c>
      <c r="BC57" s="78"/>
      <c r="BD57" s="57">
        <f>BD11+BD33</f>
        <v>1015.99</v>
      </c>
      <c r="BE57" s="57"/>
      <c r="BF57" s="57">
        <f>BF11+BF33</f>
        <v>1151.5999999999999</v>
      </c>
      <c r="BG57" s="57"/>
      <c r="BH57" s="57">
        <f>BH11+BH33</f>
        <v>1201.93</v>
      </c>
      <c r="BI57" s="57"/>
      <c r="BJ57" s="57">
        <f>BJ11+BJ33</f>
        <v>1251.1199999999999</v>
      </c>
      <c r="BK57" s="57"/>
      <c r="BL57" s="57">
        <f>BL11+BL33</f>
        <v>1251.1199999999999</v>
      </c>
      <c r="BM57" s="57"/>
      <c r="BN57" s="57">
        <f>BN11+BN33</f>
        <v>1251.1199999999999</v>
      </c>
      <c r="BO57" s="57"/>
      <c r="BP57" s="57">
        <f>BP11+BP33</f>
        <v>1196.19</v>
      </c>
      <c r="BQ57" s="57"/>
      <c r="BR57" s="125"/>
      <c r="BS57" s="125"/>
    </row>
    <row r="58" spans="2:72" x14ac:dyDescent="0.2">
      <c r="C58" s="64"/>
      <c r="D58" t="s">
        <v>42</v>
      </c>
      <c r="F58" s="53">
        <f>F12+F34</f>
        <v>37.99</v>
      </c>
      <c r="G58" s="117"/>
      <c r="H58" s="54">
        <f>H12+H34</f>
        <v>33.21</v>
      </c>
      <c r="I58" s="105"/>
      <c r="J58" s="54">
        <f>J12+J34</f>
        <v>37.229999999999997</v>
      </c>
      <c r="K58" s="126"/>
      <c r="L58" s="54">
        <f>L12+L34</f>
        <v>39.480000000000004</v>
      </c>
      <c r="M58" s="55"/>
      <c r="N58" s="55">
        <f>N12+N34</f>
        <v>54.730000000000004</v>
      </c>
      <c r="O58" s="55"/>
      <c r="P58" s="55">
        <f>P12+P34</f>
        <v>41.23</v>
      </c>
      <c r="Q58" s="55"/>
      <c r="R58" s="55">
        <f>R12+R34</f>
        <v>44.18</v>
      </c>
      <c r="S58" s="55"/>
      <c r="T58" s="55">
        <f>T12+T34</f>
        <v>32.229999999999997</v>
      </c>
      <c r="U58" s="55"/>
      <c r="V58" s="56">
        <f>V12+V34</f>
        <v>43.35</v>
      </c>
      <c r="W58" s="105"/>
      <c r="X58" s="56">
        <f>X12+X34</f>
        <v>43.35</v>
      </c>
      <c r="Y58" s="56"/>
      <c r="Z58" s="56">
        <f>Z12+Z34</f>
        <v>40.97</v>
      </c>
      <c r="AA58" s="105"/>
      <c r="AB58" s="56">
        <f>AB12+AB34</f>
        <v>40.479999999999997</v>
      </c>
      <c r="AC58" s="56"/>
      <c r="AD58" s="56">
        <f>AD12+AD34</f>
        <v>30.909999999999997</v>
      </c>
      <c r="AE58" s="56"/>
      <c r="AF58" s="57">
        <f>AF12+AF34</f>
        <v>0.14000000000000001</v>
      </c>
      <c r="AG58" s="57"/>
      <c r="AH58" s="63">
        <f>AH12+AH34</f>
        <v>0</v>
      </c>
      <c r="AI58" s="115"/>
      <c r="AJ58" s="57">
        <f>AJ12+AJ34</f>
        <v>7.33</v>
      </c>
      <c r="AK58" s="59"/>
      <c r="AL58" s="59">
        <f>AL12+AL34</f>
        <v>7.33</v>
      </c>
      <c r="AM58" s="59"/>
      <c r="AN58" s="59">
        <f>AN12+AN34</f>
        <v>7.33</v>
      </c>
      <c r="AO58" s="59"/>
      <c r="AP58" s="57">
        <f>AP12+AP34</f>
        <v>12.29</v>
      </c>
      <c r="AQ58" s="57"/>
      <c r="AR58" s="57">
        <f>AR12+AR34</f>
        <v>20.05</v>
      </c>
      <c r="AS58" s="57"/>
      <c r="AT58" s="57">
        <f>AT12+AT34</f>
        <v>34.71</v>
      </c>
      <c r="AU58" s="57"/>
      <c r="AV58" s="57">
        <f>AV12+AV34</f>
        <v>34.71</v>
      </c>
      <c r="AW58" s="57"/>
      <c r="AX58" s="57">
        <f>AX12+AX34</f>
        <v>34.71</v>
      </c>
      <c r="AY58" s="57"/>
      <c r="AZ58" s="57">
        <f>AZ12+AZ34</f>
        <v>34.71</v>
      </c>
      <c r="BA58" s="57"/>
      <c r="BB58" s="57">
        <f>BB12+BB34</f>
        <v>44.85</v>
      </c>
      <c r="BC58" s="115"/>
      <c r="BD58" s="57">
        <f>BD12+BD34</f>
        <v>44.85</v>
      </c>
      <c r="BE58" s="57"/>
      <c r="BF58" s="57">
        <f>BF12+BF34</f>
        <v>43.96</v>
      </c>
      <c r="BG58" s="57"/>
      <c r="BH58" s="57">
        <f>BH12+BH34</f>
        <v>34.299999999999997</v>
      </c>
      <c r="BI58" s="57"/>
      <c r="BJ58" s="57">
        <f>BJ12+BJ34</f>
        <v>43.88</v>
      </c>
      <c r="BK58" s="57"/>
      <c r="BL58" s="57">
        <f>BL12+BL34</f>
        <v>48.800000000000004</v>
      </c>
      <c r="BM58" s="57"/>
      <c r="BN58" s="57">
        <f>BN12+BN34</f>
        <v>48.800000000000004</v>
      </c>
      <c r="BO58" s="57"/>
      <c r="BP58" s="57">
        <f>BP12+BP34</f>
        <v>35.659999999999997</v>
      </c>
      <c r="BQ58" s="57"/>
    </row>
    <row r="59" spans="2:72" x14ac:dyDescent="0.2">
      <c r="C59" s="64"/>
      <c r="D59" t="s">
        <v>43</v>
      </c>
      <c r="F59" s="53">
        <f>F13+F35</f>
        <v>64.88</v>
      </c>
      <c r="G59" s="117"/>
      <c r="H59" s="54">
        <f>H13+H35</f>
        <v>63.66</v>
      </c>
      <c r="I59" s="105"/>
      <c r="J59" s="54">
        <f>J13+J35</f>
        <v>42.83</v>
      </c>
      <c r="K59" s="126"/>
      <c r="L59" s="54">
        <f>L13+L35</f>
        <v>65.72</v>
      </c>
      <c r="M59" s="55"/>
      <c r="N59" s="55">
        <f>N13+N35</f>
        <v>52.269999999999996</v>
      </c>
      <c r="O59" s="55"/>
      <c r="P59" s="55">
        <f>P13+P35</f>
        <v>48.39</v>
      </c>
      <c r="Q59" s="55"/>
      <c r="R59" s="55">
        <f>R13+R35</f>
        <v>55.06</v>
      </c>
      <c r="S59" s="55"/>
      <c r="T59" s="55">
        <f>T13+T35</f>
        <v>62.519999999999996</v>
      </c>
      <c r="U59" s="55"/>
      <c r="V59" s="56">
        <f>V13+V35</f>
        <v>73.83</v>
      </c>
      <c r="W59" s="105"/>
      <c r="X59" s="56">
        <f>X13+X35</f>
        <v>73.83</v>
      </c>
      <c r="Y59" s="56"/>
      <c r="Z59" s="56">
        <f>Z13+Z35</f>
        <v>102.58000000000001</v>
      </c>
      <c r="AA59" s="105"/>
      <c r="AB59" s="56">
        <f>AB13+AB35</f>
        <v>173.34</v>
      </c>
      <c r="AC59" s="56"/>
      <c r="AD59" s="56">
        <f>AD13+AD35</f>
        <v>39.14</v>
      </c>
      <c r="AE59" s="56"/>
      <c r="AF59" s="57">
        <f>AF13+AF35</f>
        <v>0.18</v>
      </c>
      <c r="AG59" s="57"/>
      <c r="AH59" s="57">
        <f>AH13+AH35</f>
        <v>9.32</v>
      </c>
      <c r="AI59" s="115"/>
      <c r="AJ59" s="57">
        <f>AJ13+AJ35</f>
        <v>6.5600000000000005</v>
      </c>
      <c r="AK59" s="59"/>
      <c r="AL59" s="59">
        <f>AL13+AL35</f>
        <v>6.87</v>
      </c>
      <c r="AM59" s="59"/>
      <c r="AN59" s="59">
        <f>AN13+AN35</f>
        <v>6.87</v>
      </c>
      <c r="AO59" s="59"/>
      <c r="AP59" s="57">
        <f>AP13+AP35</f>
        <v>6.87</v>
      </c>
      <c r="AQ59" s="57"/>
      <c r="AR59" s="57">
        <f>AR13+AR35</f>
        <v>6.14</v>
      </c>
      <c r="AS59" s="57"/>
      <c r="AT59" s="57">
        <f>AT13+AT35</f>
        <v>0.06</v>
      </c>
      <c r="AU59" s="57"/>
      <c r="AV59" s="57">
        <f>AV13+AV35</f>
        <v>0.06</v>
      </c>
      <c r="AW59" s="57"/>
      <c r="AX59" s="57">
        <f>AX13+AX35</f>
        <v>0.06</v>
      </c>
      <c r="AY59" s="57"/>
      <c r="AZ59" s="57">
        <f>AZ13+AZ35</f>
        <v>0.06</v>
      </c>
      <c r="BA59" s="57"/>
      <c r="BB59" s="57">
        <f>BB13+BB35</f>
        <v>0.06</v>
      </c>
      <c r="BC59" s="115"/>
      <c r="BD59" s="57">
        <f>BD13+BD35</f>
        <v>0.06</v>
      </c>
      <c r="BE59" s="57"/>
      <c r="BF59" s="57">
        <f>BF13+BF35</f>
        <v>0.17</v>
      </c>
      <c r="BG59" s="57"/>
      <c r="BH59" s="57">
        <f>BH13+BH35</f>
        <v>0</v>
      </c>
      <c r="BI59" s="57"/>
      <c r="BJ59" s="57">
        <f>BJ13+BJ35</f>
        <v>0</v>
      </c>
      <c r="BK59" s="57"/>
      <c r="BL59" s="57">
        <f>BL13+BL35</f>
        <v>0</v>
      </c>
      <c r="BM59" s="57"/>
      <c r="BN59" s="57">
        <f>BN13+BN35</f>
        <v>0</v>
      </c>
      <c r="BO59" s="57"/>
      <c r="BP59" s="57">
        <f>BP13+BP35</f>
        <v>0</v>
      </c>
      <c r="BQ59" s="57"/>
      <c r="BT59" s="53"/>
    </row>
    <row r="60" spans="2:72" x14ac:dyDescent="0.2">
      <c r="C60" s="64"/>
      <c r="D60" t="s">
        <v>44</v>
      </c>
      <c r="F60" s="53"/>
      <c r="G60" s="117"/>
      <c r="H60" s="54"/>
      <c r="I60" s="105"/>
      <c r="J60" s="54"/>
      <c r="K60" s="126"/>
      <c r="L60" s="54"/>
      <c r="M60" s="55"/>
      <c r="N60" s="55"/>
      <c r="O60" s="55"/>
      <c r="P60" s="55"/>
      <c r="Q60" s="55"/>
      <c r="R60" s="55"/>
      <c r="S60" s="55"/>
      <c r="T60" s="55"/>
      <c r="U60" s="55"/>
      <c r="V60" s="56">
        <f>V14+V36</f>
        <v>-477.49</v>
      </c>
      <c r="W60" s="105"/>
      <c r="X60" s="56">
        <f>X14+X36</f>
        <v>0</v>
      </c>
      <c r="Y60" s="56"/>
      <c r="Z60" s="127">
        <f>Z14+Z36</f>
        <v>0</v>
      </c>
      <c r="AA60" s="105"/>
      <c r="AB60" s="127">
        <f>AB14+AB36</f>
        <v>0</v>
      </c>
      <c r="AC60" s="56"/>
      <c r="AD60" s="127">
        <f>AD14+AD36</f>
        <v>0</v>
      </c>
      <c r="AE60" s="56"/>
      <c r="AF60" s="63">
        <f>AF14+AF36</f>
        <v>0</v>
      </c>
      <c r="AG60" s="57"/>
      <c r="AH60" s="63">
        <f>AH14+AH36</f>
        <v>0</v>
      </c>
      <c r="AI60" s="105"/>
      <c r="AJ60" s="65">
        <f>AJ14+AJ36</f>
        <v>-266.44</v>
      </c>
      <c r="AK60" s="66"/>
      <c r="AL60" s="66">
        <f>AL14+AL36</f>
        <v>-266.44</v>
      </c>
      <c r="AM60" s="66"/>
      <c r="AN60" s="66">
        <f>AN14+AN36</f>
        <v>-266.44</v>
      </c>
      <c r="AO60" s="66"/>
      <c r="AP60" s="65">
        <f>AP14+AP36</f>
        <v>-266.44</v>
      </c>
      <c r="AQ60" s="66"/>
      <c r="AR60" s="66"/>
      <c r="AS60" s="66"/>
      <c r="AT60" s="66">
        <v>-153.05000000000001</v>
      </c>
      <c r="AU60" s="66"/>
      <c r="AV60" s="66">
        <v>-153.05000000000001</v>
      </c>
      <c r="AW60" s="66"/>
      <c r="AX60" s="66">
        <v>-153.05000000000001</v>
      </c>
      <c r="AY60" s="66"/>
      <c r="AZ60" s="66">
        <v>-153.05000000000001</v>
      </c>
      <c r="BA60" s="66"/>
      <c r="BB60" s="65">
        <v>-153.05000000000001</v>
      </c>
      <c r="BC60" s="105"/>
      <c r="BD60" s="196">
        <f>BD14+BD36</f>
        <v>-153.05000000000001</v>
      </c>
      <c r="BE60" s="65"/>
      <c r="BF60" s="196">
        <v>-665.61</v>
      </c>
      <c r="BG60" s="65"/>
      <c r="BH60" s="196">
        <f>BH14+BH36</f>
        <v>-1086.23</v>
      </c>
      <c r="BI60" s="66"/>
      <c r="BJ60" s="195">
        <f>BJ14+BJ36</f>
        <v>0</v>
      </c>
      <c r="BK60" s="65"/>
      <c r="BL60" s="195">
        <f>BL14+BL36</f>
        <v>0</v>
      </c>
      <c r="BM60" s="66"/>
      <c r="BN60" s="195">
        <f>BN14+BN36</f>
        <v>0</v>
      </c>
      <c r="BO60" s="66"/>
      <c r="BP60" s="195">
        <f>BP14+BP36</f>
        <v>0</v>
      </c>
      <c r="BQ60" s="66"/>
    </row>
    <row r="61" spans="2:72" x14ac:dyDescent="0.2">
      <c r="C61" s="64" t="s">
        <v>45</v>
      </c>
      <c r="F61" s="53"/>
      <c r="G61" s="117"/>
      <c r="H61" s="54"/>
      <c r="I61" s="105"/>
      <c r="J61" s="54"/>
      <c r="K61" s="126"/>
      <c r="L61" s="54"/>
      <c r="M61" s="55"/>
      <c r="N61" s="55"/>
      <c r="O61" s="55"/>
      <c r="P61" s="55"/>
      <c r="Q61" s="55"/>
      <c r="R61" s="55"/>
      <c r="S61" s="55"/>
      <c r="T61" s="55"/>
      <c r="U61" s="55"/>
      <c r="V61" s="56"/>
      <c r="W61" s="105"/>
      <c r="X61" s="56"/>
      <c r="Y61" s="56"/>
      <c r="Z61" s="56"/>
      <c r="AA61" s="105"/>
      <c r="AB61" s="56"/>
      <c r="AC61" s="56"/>
      <c r="AD61" s="56"/>
      <c r="AE61" s="56"/>
      <c r="AF61" s="57"/>
      <c r="AG61" s="57"/>
      <c r="AH61" s="57"/>
      <c r="AI61" s="105"/>
      <c r="AJ61" s="57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105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2:72" x14ac:dyDescent="0.2">
      <c r="C62" s="64"/>
      <c r="D62" t="s">
        <v>40</v>
      </c>
      <c r="F62" s="53">
        <f>F16+F38</f>
        <v>7063.6799999999994</v>
      </c>
      <c r="G62" s="117"/>
      <c r="H62" s="54">
        <f>H16+H38</f>
        <v>6863.2099999999991</v>
      </c>
      <c r="I62" s="105"/>
      <c r="J62" s="54">
        <f>J16+J38</f>
        <v>7231.51</v>
      </c>
      <c r="K62" s="126"/>
      <c r="L62" s="54">
        <f>L16+L38</f>
        <v>7872.61</v>
      </c>
      <c r="M62" s="55"/>
      <c r="N62" s="55">
        <f>N16+N38</f>
        <v>7716.6299999999992</v>
      </c>
      <c r="O62" s="55"/>
      <c r="P62" s="55">
        <f>P16+P38</f>
        <v>7586.48</v>
      </c>
      <c r="Q62" s="55"/>
      <c r="R62" s="55">
        <f>R16+R38</f>
        <v>7427.75</v>
      </c>
      <c r="S62" s="55"/>
      <c r="T62" s="55">
        <f>T16+T38</f>
        <v>7549.7999999999993</v>
      </c>
      <c r="U62" s="55"/>
      <c r="V62" s="56">
        <f>V16+V38</f>
        <v>8073.7350000000006</v>
      </c>
      <c r="W62" s="128"/>
      <c r="X62" s="56">
        <f>X16+X38</f>
        <v>8073.7350000000006</v>
      </c>
      <c r="Y62" s="56"/>
      <c r="Z62" s="56">
        <f>Z16+Z38</f>
        <v>8429.2999999999993</v>
      </c>
      <c r="AA62" s="128"/>
      <c r="AB62" s="56">
        <f>AB16+AB38</f>
        <v>9116.5299999999988</v>
      </c>
      <c r="AC62" s="56"/>
      <c r="AD62" s="56">
        <f>AD16+AD38</f>
        <v>8896.86</v>
      </c>
      <c r="AE62" s="56"/>
      <c r="AF62" s="57">
        <f>AF16+AF38</f>
        <v>8505.76</v>
      </c>
      <c r="AG62" s="57"/>
      <c r="AH62" s="57">
        <f>AH16+AH38</f>
        <v>7876.6399999999994</v>
      </c>
      <c r="AI62" s="78"/>
      <c r="AJ62" s="57">
        <f>AJ16+AJ38</f>
        <v>8492.0400000000009</v>
      </c>
      <c r="AK62" s="59"/>
      <c r="AL62" s="59">
        <f>AL16+AL38</f>
        <v>8468.83</v>
      </c>
      <c r="AM62" s="59"/>
      <c r="AN62" s="59">
        <f>AN16+AN38</f>
        <v>8469.2900000000009</v>
      </c>
      <c r="AO62" s="59"/>
      <c r="AP62" s="57">
        <f>AP16+AP38</f>
        <v>8549.630000000001</v>
      </c>
      <c r="AQ62" s="57"/>
      <c r="AR62" s="57">
        <f>AR16+AR38</f>
        <v>8403.06</v>
      </c>
      <c r="AS62" s="57"/>
      <c r="AT62" s="57">
        <f>AT16+AT38</f>
        <v>8306.77</v>
      </c>
      <c r="AU62" s="57"/>
      <c r="AV62" s="57">
        <f>AV16+AV38</f>
        <v>8308.66</v>
      </c>
      <c r="AW62" s="57"/>
      <c r="AX62" s="57">
        <f>AX16+AX38</f>
        <v>8308.66</v>
      </c>
      <c r="AY62" s="57"/>
      <c r="AZ62" s="57">
        <f>AZ16+AZ38</f>
        <v>8308.73</v>
      </c>
      <c r="BA62" s="57"/>
      <c r="BB62" s="57">
        <f>BB16+BB38</f>
        <v>8308.76</v>
      </c>
      <c r="BC62" s="60"/>
      <c r="BD62" s="57">
        <v>8338.64</v>
      </c>
      <c r="BE62" s="57"/>
      <c r="BF62" s="57">
        <f>BF16+BF38</f>
        <v>8532.2999999999993</v>
      </c>
      <c r="BG62" s="57"/>
      <c r="BH62" s="57">
        <f>BH16+BH38</f>
        <v>8301.1</v>
      </c>
      <c r="BI62" s="57"/>
      <c r="BJ62" s="57">
        <f>BJ16+BJ38</f>
        <v>8082.45</v>
      </c>
      <c r="BK62" s="57"/>
      <c r="BL62" s="57">
        <f>BL16+BL38</f>
        <v>8101.6100000000006</v>
      </c>
      <c r="BM62" s="57"/>
      <c r="BN62" s="57">
        <f>BN16+BN38</f>
        <v>8101.65</v>
      </c>
      <c r="BO62" s="57"/>
      <c r="BP62" s="57">
        <f>BP16+BP38</f>
        <v>7517.3600000000006</v>
      </c>
      <c r="BQ62" s="57"/>
      <c r="BR62" s="125"/>
      <c r="BS62" s="125"/>
    </row>
    <row r="63" spans="2:72" ht="15.75" x14ac:dyDescent="0.25">
      <c r="C63" s="64"/>
      <c r="D63" t="s">
        <v>42</v>
      </c>
      <c r="F63" s="53">
        <f>F17+F39</f>
        <v>130.28</v>
      </c>
      <c r="G63" s="117"/>
      <c r="H63" s="54">
        <f>H17+H39</f>
        <v>111.58000000000001</v>
      </c>
      <c r="I63" s="105"/>
      <c r="J63" s="54">
        <f>J17+J39</f>
        <v>157.85</v>
      </c>
      <c r="K63" s="126"/>
      <c r="L63" s="54">
        <f>L17+L39</f>
        <v>147.21</v>
      </c>
      <c r="M63" s="55"/>
      <c r="N63" s="55">
        <f>N17+N39</f>
        <v>170.89</v>
      </c>
      <c r="O63" s="55"/>
      <c r="P63" s="55">
        <f>P17+P39</f>
        <v>123.75</v>
      </c>
      <c r="Q63" s="55"/>
      <c r="R63" s="55">
        <f>R17+R39</f>
        <v>112.22</v>
      </c>
      <c r="S63" s="55"/>
      <c r="T63" s="55">
        <f>T17+T39</f>
        <v>88.490000000000009</v>
      </c>
      <c r="U63" s="55"/>
      <c r="V63" s="56">
        <f>V17+V39</f>
        <v>103.94</v>
      </c>
      <c r="W63" s="129"/>
      <c r="X63" s="56">
        <f>X17+X39</f>
        <v>103.94</v>
      </c>
      <c r="Y63" s="56"/>
      <c r="Z63" s="56">
        <f>Z17+Z39</f>
        <v>105.97</v>
      </c>
      <c r="AA63" s="129"/>
      <c r="AB63" s="56">
        <f>AB17+AB39</f>
        <v>113.63999999999999</v>
      </c>
      <c r="AC63" s="56"/>
      <c r="AD63" s="56">
        <f>AD17+AD39</f>
        <v>148.59</v>
      </c>
      <c r="AE63" s="56"/>
      <c r="AF63" s="57">
        <f>AF17+AF39</f>
        <v>185.54000000000002</v>
      </c>
      <c r="AG63" s="57"/>
      <c r="AH63" s="57">
        <f>AH17+AH39</f>
        <v>157.95999999999998</v>
      </c>
      <c r="AI63" s="130"/>
      <c r="AJ63" s="57">
        <f>AJ17+AJ39</f>
        <v>241</v>
      </c>
      <c r="AK63" s="59"/>
      <c r="AL63" s="59">
        <f>AL17+AL39</f>
        <v>107.93</v>
      </c>
      <c r="AM63" s="59"/>
      <c r="AN63" s="59">
        <f>AN17+AN39</f>
        <v>108.21000000000001</v>
      </c>
      <c r="AO63" s="59"/>
      <c r="AP63" s="57">
        <f>AP17+AP39</f>
        <v>131.31</v>
      </c>
      <c r="AQ63" s="57"/>
      <c r="AR63" s="57">
        <f>AR17+AR39</f>
        <v>135.4</v>
      </c>
      <c r="AS63" s="57"/>
      <c r="AT63" s="57">
        <f>AT17+AT39</f>
        <v>202.92</v>
      </c>
      <c r="AU63" s="57"/>
      <c r="AV63" s="57">
        <f>AV17+AV39</f>
        <v>215.43</v>
      </c>
      <c r="AW63" s="57"/>
      <c r="AX63" s="57">
        <f>AX17+AX39</f>
        <v>215.43</v>
      </c>
      <c r="AY63" s="57"/>
      <c r="AZ63" s="57">
        <f>AZ17+AZ39</f>
        <v>221.98000000000002</v>
      </c>
      <c r="BA63" s="57"/>
      <c r="BB63" s="57">
        <f>BB17+BB39</f>
        <v>229.61</v>
      </c>
      <c r="BC63" s="130"/>
      <c r="BD63" s="57">
        <f>BD17+BD39</f>
        <v>229.74</v>
      </c>
      <c r="BE63" s="57"/>
      <c r="BF63" s="57">
        <f>BF17+BF39</f>
        <v>214.32</v>
      </c>
      <c r="BG63" s="57"/>
      <c r="BH63" s="57">
        <f>BH17+BH39</f>
        <v>257.71000000000004</v>
      </c>
      <c r="BI63" s="57"/>
      <c r="BJ63" s="57">
        <f>BJ17+BJ39</f>
        <v>238.60999999999999</v>
      </c>
      <c r="BK63" s="57"/>
      <c r="BL63" s="57">
        <f>BL17+BL39</f>
        <v>248.22</v>
      </c>
      <c r="BM63" s="57"/>
      <c r="BN63" s="57">
        <f>BN17+BN39</f>
        <v>248.34</v>
      </c>
      <c r="BO63" s="57"/>
      <c r="BP63" s="57">
        <f>BP17+BP39</f>
        <v>218.61</v>
      </c>
      <c r="BQ63" s="57"/>
      <c r="BR63" s="130"/>
      <c r="BS63" s="130"/>
    </row>
    <row r="64" spans="2:72" ht="15.75" x14ac:dyDescent="0.25">
      <c r="C64" s="64"/>
      <c r="D64" t="s">
        <v>43</v>
      </c>
      <c r="F64" s="53">
        <f>F18+F40</f>
        <v>258.97000000000003</v>
      </c>
      <c r="G64" s="117"/>
      <c r="H64" s="54">
        <f>H18+H40</f>
        <v>313.44</v>
      </c>
      <c r="I64" s="105"/>
      <c r="J64" s="54">
        <f>J18+J40</f>
        <v>384.84000000000003</v>
      </c>
      <c r="K64" s="126"/>
      <c r="L64" s="54">
        <f>L18+L40</f>
        <v>425.13</v>
      </c>
      <c r="M64" s="55"/>
      <c r="N64" s="55">
        <f>N18+N40</f>
        <v>446.94</v>
      </c>
      <c r="O64" s="55"/>
      <c r="P64" s="55">
        <f>P18+P40</f>
        <v>554.02</v>
      </c>
      <c r="Q64" s="55"/>
      <c r="R64" s="55">
        <f>R18+R40</f>
        <v>505.3</v>
      </c>
      <c r="S64" s="55"/>
      <c r="T64" s="55">
        <f>T18+T40</f>
        <v>398.45000000000005</v>
      </c>
      <c r="U64" s="55"/>
      <c r="V64" s="56">
        <f>V18+V40</f>
        <v>483.44</v>
      </c>
      <c r="W64" s="129"/>
      <c r="X64" s="56">
        <f>X18+X40</f>
        <v>483.44</v>
      </c>
      <c r="Y64" s="56"/>
      <c r="Z64" s="56">
        <f>Z18+Z40</f>
        <v>390.63</v>
      </c>
      <c r="AA64" s="129"/>
      <c r="AB64" s="56">
        <f>AB18+AB40</f>
        <v>237.06</v>
      </c>
      <c r="AC64" s="56"/>
      <c r="AD64" s="56">
        <f>AD18+AD40</f>
        <v>112.16</v>
      </c>
      <c r="AE64" s="56"/>
      <c r="AF64" s="57">
        <f>AF18+AF40</f>
        <v>27.2</v>
      </c>
      <c r="AG64" s="57"/>
      <c r="AH64" s="57">
        <f>AH18+AH40</f>
        <v>39.4</v>
      </c>
      <c r="AI64" s="130"/>
      <c r="AJ64" s="57">
        <f>AJ18+AJ40</f>
        <v>71</v>
      </c>
      <c r="AK64" s="59"/>
      <c r="AL64" s="59">
        <f>AL18+AL40</f>
        <v>48.46</v>
      </c>
      <c r="AM64" s="59"/>
      <c r="AN64" s="59">
        <f>AN18+AN40</f>
        <v>51.68</v>
      </c>
      <c r="AO64" s="59"/>
      <c r="AP64" s="57">
        <f>AP18+AP40</f>
        <v>52.17</v>
      </c>
      <c r="AQ64" s="57"/>
      <c r="AR64" s="57">
        <f>AR18+AR40</f>
        <v>40.07</v>
      </c>
      <c r="AS64" s="57"/>
      <c r="AT64" s="57">
        <f>AT18+AT40</f>
        <v>11.17</v>
      </c>
      <c r="AU64" s="57"/>
      <c r="AV64" s="57">
        <f>AV18+AV40</f>
        <v>11.17</v>
      </c>
      <c r="AW64" s="57"/>
      <c r="AX64" s="57">
        <f>AX18+AX40</f>
        <v>11.17</v>
      </c>
      <c r="AY64" s="57"/>
      <c r="AZ64" s="57">
        <f>AZ18+AZ40</f>
        <v>11.17</v>
      </c>
      <c r="BA64" s="57"/>
      <c r="BB64" s="57">
        <f>BB18+BB40</f>
        <v>11.17</v>
      </c>
      <c r="BC64" s="130"/>
      <c r="BD64" s="57">
        <f>BD18+BD40</f>
        <v>11.17</v>
      </c>
      <c r="BE64" s="57"/>
      <c r="BF64" s="57">
        <f>BF18+BF40</f>
        <v>10.96</v>
      </c>
      <c r="BG64" s="57"/>
      <c r="BH64" s="57">
        <f>BH18+BH40</f>
        <v>10.06</v>
      </c>
      <c r="BI64" s="57"/>
      <c r="BJ64" s="57">
        <f>BJ18+BJ40</f>
        <v>8.51</v>
      </c>
      <c r="BK64" s="57"/>
      <c r="BL64" s="57">
        <f>BL18+BL40</f>
        <v>8.51</v>
      </c>
      <c r="BM64" s="57"/>
      <c r="BN64" s="57">
        <f>BN18+BN40</f>
        <v>8.51</v>
      </c>
      <c r="BO64" s="57"/>
      <c r="BP64" s="57">
        <f>BP18+BP40</f>
        <v>7.92</v>
      </c>
      <c r="BQ64" s="57"/>
      <c r="BR64" s="130"/>
      <c r="BS64" s="130"/>
    </row>
    <row r="65" spans="1:72" ht="15.75" x14ac:dyDescent="0.25">
      <c r="C65" s="64" t="s">
        <v>46</v>
      </c>
      <c r="F65" s="53"/>
      <c r="G65" s="117"/>
      <c r="H65" s="54"/>
      <c r="I65" s="105"/>
      <c r="J65" s="54"/>
      <c r="K65" s="126"/>
      <c r="L65" s="54"/>
      <c r="M65" s="55"/>
      <c r="N65" s="55"/>
      <c r="O65" s="55"/>
      <c r="P65" s="55"/>
      <c r="Q65" s="55"/>
      <c r="R65" s="55"/>
      <c r="S65" s="55"/>
      <c r="T65" s="55"/>
      <c r="U65" s="55"/>
      <c r="V65" s="56"/>
      <c r="W65" s="129"/>
      <c r="X65" s="56"/>
      <c r="Y65" s="56"/>
      <c r="Z65" s="56"/>
      <c r="AA65" s="129"/>
      <c r="AB65" s="56"/>
      <c r="AC65" s="56"/>
      <c r="AD65" s="56"/>
      <c r="AE65" s="56"/>
      <c r="AF65" s="57"/>
      <c r="AG65" s="57"/>
      <c r="AH65" s="57"/>
      <c r="AI65" s="130"/>
      <c r="AJ65" s="57"/>
      <c r="AK65" s="59"/>
      <c r="AL65" s="59"/>
      <c r="AM65" s="59"/>
      <c r="AN65" s="59"/>
      <c r="AO65" s="59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130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130"/>
      <c r="BS65" s="130"/>
      <c r="BT65" s="53"/>
    </row>
    <row r="66" spans="1:72" ht="15" x14ac:dyDescent="0.2">
      <c r="C66" s="64"/>
      <c r="D66" t="s">
        <v>40</v>
      </c>
      <c r="F66" s="53">
        <f>F20+F42</f>
        <v>6712.42</v>
      </c>
      <c r="G66" s="117"/>
      <c r="H66" s="54">
        <f>ROUND(SUM(H20+H42),2)</f>
        <v>6782.45</v>
      </c>
      <c r="I66" s="105"/>
      <c r="J66" s="54">
        <f>ROUND(SUM(J20+J42),2)</f>
        <v>7466.09</v>
      </c>
      <c r="K66" s="126"/>
      <c r="L66" s="54">
        <f>ROUND(SUM(L20+L42),2)</f>
        <v>7478.04</v>
      </c>
      <c r="M66" s="55"/>
      <c r="N66" s="55">
        <f>ROUND(SUM(N20+N42),2)</f>
        <v>7397.38</v>
      </c>
      <c r="O66" s="55"/>
      <c r="P66" s="55">
        <f>ROUND(SUM(P20+P42),2)</f>
        <v>7432.2</v>
      </c>
      <c r="Q66" s="55"/>
      <c r="R66" s="55">
        <f>ROUND(SUM(R20+R42),2)</f>
        <v>7196.56</v>
      </c>
      <c r="S66" s="55"/>
      <c r="T66" s="55">
        <f>ROUND(SUM(T20+T42),2)</f>
        <v>7534.36</v>
      </c>
      <c r="U66" s="55"/>
      <c r="V66" s="56">
        <f>ROUND(SUM(V20+V42),2)</f>
        <v>8149.24</v>
      </c>
      <c r="W66" s="128"/>
      <c r="X66" s="56">
        <f>ROUND(SUM(X20+X42),2)</f>
        <v>8149.24</v>
      </c>
      <c r="Y66" s="56"/>
      <c r="Z66" s="56">
        <f>ROUND(SUM(Z20+Z42),2)</f>
        <v>8832.7900000000009</v>
      </c>
      <c r="AA66" s="128"/>
      <c r="AB66" s="56">
        <f>ROUND(SUM(AB20+AB42),2)</f>
        <v>9276.26</v>
      </c>
      <c r="AC66" s="56"/>
      <c r="AD66" s="56">
        <f>ROUND(SUM(AD20+AD42),2)</f>
        <v>8854.17</v>
      </c>
      <c r="AE66" s="56"/>
      <c r="AF66" s="57">
        <f>ROUND(SUM(AF20+AF42),2)</f>
        <v>8301.48</v>
      </c>
      <c r="AG66" s="57"/>
      <c r="AH66" s="57">
        <f>ROUND(SUM(AH20+AH42),2)</f>
        <v>8167.51</v>
      </c>
      <c r="AI66" s="78"/>
      <c r="AJ66" s="57">
        <f>ROUND(SUM(AJ20+AJ42),2)</f>
        <v>0</v>
      </c>
      <c r="AK66" s="59"/>
      <c r="AL66" s="59">
        <f>ROUND(SUM(AL20+AL42),2)</f>
        <v>8468.83</v>
      </c>
      <c r="AM66" s="59"/>
      <c r="AN66" s="59">
        <f>ROUND(SUM(AN20+AN42),2)</f>
        <v>8362.7000000000007</v>
      </c>
      <c r="AO66" s="59"/>
      <c r="AP66" s="57">
        <f>ROUND(SUM(AP20+AP42),2)</f>
        <v>8398.9699999999993</v>
      </c>
      <c r="AQ66" s="57"/>
      <c r="AR66" s="57">
        <f>ROUND(SUM(AR20+AR42),2)</f>
        <v>8158.69</v>
      </c>
      <c r="AS66" s="57"/>
      <c r="AT66" s="136">
        <f>ROUND(SUM(AT20+AT42),2)</f>
        <v>8306.77</v>
      </c>
      <c r="AU66" s="57"/>
      <c r="AV66" s="136">
        <f>ROUND(SUM(AV20+AV42),2)</f>
        <v>8236.7800000000007</v>
      </c>
      <c r="AW66" s="57"/>
      <c r="AX66" s="136">
        <f>ROUND(SUM(AX20+AX42),2)</f>
        <v>8245.77</v>
      </c>
      <c r="AY66" s="57"/>
      <c r="AZ66" s="136">
        <f>ROUND(SUM(AZ20+AZ42),2)</f>
        <v>8265.84</v>
      </c>
      <c r="BA66" s="57"/>
      <c r="BB66" s="136">
        <f>ROUND(SUM(BB20+BB42),2)</f>
        <v>8241.0400000000009</v>
      </c>
      <c r="BC66" s="78"/>
      <c r="BD66" s="136">
        <f>ROUND(SUM(BD20+BD42),2)</f>
        <v>8261.7999999999993</v>
      </c>
      <c r="BE66" s="57"/>
      <c r="BF66" s="136">
        <f>ROUND(SUM(BF20+BF42),2)</f>
        <v>8365.7999999999993</v>
      </c>
      <c r="BG66" s="57"/>
      <c r="BH66" s="136">
        <f>ROUND(SUM(BH20+BH42),2)</f>
        <v>8032.3</v>
      </c>
      <c r="BI66" s="57"/>
      <c r="BJ66" s="136">
        <f>ROUND(SUM(BJ20+BJ42),2)</f>
        <v>7649.05</v>
      </c>
      <c r="BK66" s="136"/>
      <c r="BL66" s="136">
        <f>ROUND(SUM(BL20+BL42),2)</f>
        <v>7679.41</v>
      </c>
      <c r="BM66" s="57"/>
      <c r="BN66" s="136">
        <f>ROUND(SUM(BN20+BN42),2)</f>
        <v>7608.61</v>
      </c>
      <c r="BO66" s="57"/>
      <c r="BP66" s="136">
        <f>ROUND(SUM(BP20+BP42),2)</f>
        <v>7351.77</v>
      </c>
      <c r="BQ66" s="57"/>
      <c r="BR66" s="131"/>
      <c r="BS66" s="131"/>
    </row>
    <row r="67" spans="1:72" ht="15" x14ac:dyDescent="0.2">
      <c r="C67" s="64"/>
      <c r="D67" t="s">
        <v>42</v>
      </c>
      <c r="F67" s="53">
        <f>F21+F43</f>
        <v>111.72</v>
      </c>
      <c r="G67" s="117"/>
      <c r="H67" s="54">
        <f>H21+H43</f>
        <v>132.38</v>
      </c>
      <c r="I67" s="105"/>
      <c r="J67" s="122">
        <f>J21+J43</f>
        <v>152.48000000000002</v>
      </c>
      <c r="K67" s="132"/>
      <c r="L67" s="122">
        <f>L21+L43</f>
        <v>157.98000000000002</v>
      </c>
      <c r="M67" s="59"/>
      <c r="N67" s="59">
        <f>N21+N43</f>
        <v>146.19</v>
      </c>
      <c r="O67" s="59"/>
      <c r="P67" s="59">
        <f>P21+P43</f>
        <v>126.5</v>
      </c>
      <c r="Q67" s="59"/>
      <c r="R67" s="59">
        <f>R21+R43</f>
        <v>106.22</v>
      </c>
      <c r="S67" s="59"/>
      <c r="T67" s="59">
        <f>T21+T43</f>
        <v>100.98</v>
      </c>
      <c r="U67" s="59"/>
      <c r="V67" s="57">
        <f>V21+V43</f>
        <v>113.32</v>
      </c>
      <c r="W67" s="128"/>
      <c r="X67" s="57">
        <f>X21+X43</f>
        <v>113.32</v>
      </c>
      <c r="Y67" s="57"/>
      <c r="Z67" s="57">
        <f>Z21+Z43</f>
        <v>113.99</v>
      </c>
      <c r="AA67" s="128"/>
      <c r="AB67" s="57">
        <f>AB21+AB43</f>
        <v>137.81</v>
      </c>
      <c r="AC67" s="57"/>
      <c r="AD67" s="57">
        <f>AD21+AD43</f>
        <v>151.11000000000001</v>
      </c>
      <c r="AE67" s="57"/>
      <c r="AF67" s="57">
        <f>AF21+AF43</f>
        <v>190.01999999999998</v>
      </c>
      <c r="AG67" s="57"/>
      <c r="AH67" s="57">
        <f>AH21+AH43</f>
        <v>173.05</v>
      </c>
      <c r="AI67" s="131"/>
      <c r="AJ67" s="57">
        <f>AJ21+AJ43</f>
        <v>0</v>
      </c>
      <c r="AK67" s="59"/>
      <c r="AL67" s="59">
        <f>AL21+AL43</f>
        <v>107.93</v>
      </c>
      <c r="AM67" s="59"/>
      <c r="AN67" s="59">
        <f>AN21+AN43</f>
        <v>119.14</v>
      </c>
      <c r="AO67" s="59"/>
      <c r="AP67" s="57">
        <f>AP21+AP43</f>
        <v>164.62</v>
      </c>
      <c r="AQ67" s="57"/>
      <c r="AR67" s="57">
        <f>AR21+AR43</f>
        <v>275.71000000000004</v>
      </c>
      <c r="AS67" s="57"/>
      <c r="AT67" s="136">
        <f>AT21+AT43</f>
        <v>202.92</v>
      </c>
      <c r="AU67" s="57"/>
      <c r="AV67" s="136">
        <f>AV21+AV43</f>
        <v>184</v>
      </c>
      <c r="AW67" s="57"/>
      <c r="AX67" s="136">
        <f>AX21+AX43</f>
        <v>186.58</v>
      </c>
      <c r="AY67" s="57"/>
      <c r="AZ67" s="136">
        <f>AZ21+AZ43</f>
        <v>184</v>
      </c>
      <c r="BA67" s="57"/>
      <c r="BB67" s="136">
        <f>BB21+BB43</f>
        <v>183.29000000000002</v>
      </c>
      <c r="BC67" s="131"/>
      <c r="BD67" s="136">
        <f>BD21+BD43</f>
        <v>216.49</v>
      </c>
      <c r="BE67" s="57"/>
      <c r="BF67" s="136">
        <f>BF21+BF43</f>
        <v>210.68</v>
      </c>
      <c r="BG67" s="57"/>
      <c r="BH67" s="136">
        <f>BH21+BH43</f>
        <v>272.17</v>
      </c>
      <c r="BI67" s="57"/>
      <c r="BJ67" s="136">
        <f>BJ21+BJ43</f>
        <v>238.60999999999999</v>
      </c>
      <c r="BK67" s="136"/>
      <c r="BL67" s="136">
        <f>BL21+BL43</f>
        <v>248.20999999999998</v>
      </c>
      <c r="BM67" s="57"/>
      <c r="BN67" s="136">
        <f>BN21+BN43</f>
        <v>277.14999999999998</v>
      </c>
      <c r="BO67" s="57"/>
      <c r="BP67" s="136">
        <f>BP21+BP43</f>
        <v>218.61</v>
      </c>
      <c r="BQ67" s="57"/>
      <c r="BR67" s="131"/>
      <c r="BS67" s="131"/>
    </row>
    <row r="68" spans="1:72" x14ac:dyDescent="0.2">
      <c r="C68" s="64"/>
      <c r="D68" t="s">
        <v>43</v>
      </c>
      <c r="F68" s="53">
        <f>F22+F44</f>
        <v>340.12</v>
      </c>
      <c r="G68" s="117"/>
      <c r="H68" s="54">
        <f>H22+H44</f>
        <v>433.15</v>
      </c>
      <c r="I68" s="105"/>
      <c r="J68" s="122">
        <f>J22+J44</f>
        <v>494.69</v>
      </c>
      <c r="K68" s="132"/>
      <c r="L68" s="122">
        <f>L22+L44</f>
        <v>523.65</v>
      </c>
      <c r="M68" s="59"/>
      <c r="N68" s="59">
        <f>N22+N44</f>
        <v>518.27</v>
      </c>
      <c r="O68" s="59"/>
      <c r="P68" s="59">
        <f>P22+P44</f>
        <v>698.34</v>
      </c>
      <c r="Q68" s="59"/>
      <c r="R68" s="59">
        <f>R22+R44</f>
        <v>516.51</v>
      </c>
      <c r="S68" s="59"/>
      <c r="T68" s="59">
        <f>T22+T44</f>
        <v>482.84</v>
      </c>
      <c r="U68" s="59"/>
      <c r="V68" s="57">
        <f>V22+V44</f>
        <v>498.09000000000003</v>
      </c>
      <c r="W68" s="133"/>
      <c r="X68" s="57">
        <f>X22+X44</f>
        <v>498.09000000000003</v>
      </c>
      <c r="Y68" s="57"/>
      <c r="Z68" s="57">
        <f>Z22+Z44</f>
        <v>508.52</v>
      </c>
      <c r="AA68" s="133"/>
      <c r="AB68" s="57">
        <f>AB22+AB44</f>
        <v>106.03</v>
      </c>
      <c r="AC68" s="57"/>
      <c r="AD68" s="57">
        <f>AD22+AD44</f>
        <v>102.61000000000001</v>
      </c>
      <c r="AE68" s="57"/>
      <c r="AF68" s="57">
        <f>AF22+AF44</f>
        <v>37.4</v>
      </c>
      <c r="AG68" s="57"/>
      <c r="AH68" s="57">
        <f>AH22+AH44</f>
        <v>43.45</v>
      </c>
      <c r="AI68" s="133"/>
      <c r="AJ68" s="57">
        <f>AJ22+AJ44</f>
        <v>0</v>
      </c>
      <c r="AK68" s="59"/>
      <c r="AL68" s="59">
        <f>AL22+AL44</f>
        <v>48.46</v>
      </c>
      <c r="AM68" s="59"/>
      <c r="AN68" s="59">
        <f>AN22+AN44</f>
        <v>52.08</v>
      </c>
      <c r="AO68" s="59"/>
      <c r="AP68" s="57">
        <f>AP22+AP44</f>
        <v>49.949999999999996</v>
      </c>
      <c r="AQ68" s="57"/>
      <c r="AR68" s="57">
        <f>AR22+AR44</f>
        <v>16.05</v>
      </c>
      <c r="AS68" s="57"/>
      <c r="AT68" s="136">
        <f>AT22+AT44</f>
        <v>11.17</v>
      </c>
      <c r="AU68" s="57"/>
      <c r="AV68" s="136">
        <f>AV22+AV44</f>
        <v>11.16</v>
      </c>
      <c r="AW68" s="57"/>
      <c r="AX68" s="136">
        <f>AX22+AX44</f>
        <v>11.23</v>
      </c>
      <c r="AY68" s="57"/>
      <c r="AZ68" s="136">
        <f>AZ22+AZ44</f>
        <v>11.16</v>
      </c>
      <c r="BA68" s="57"/>
      <c r="BB68" s="136">
        <f>BB22+BB44</f>
        <v>10.7</v>
      </c>
      <c r="BC68" s="133"/>
      <c r="BD68" s="136">
        <f>BD22+BD44</f>
        <v>10.7</v>
      </c>
      <c r="BE68" s="57"/>
      <c r="BF68" s="136">
        <f>BF22+BF44</f>
        <v>9.0399999999999991</v>
      </c>
      <c r="BG68" s="57"/>
      <c r="BH68" s="136">
        <f>BH22+BH44</f>
        <v>9.65</v>
      </c>
      <c r="BI68" s="57"/>
      <c r="BJ68" s="136">
        <f>BJ22+BJ44</f>
        <v>7.87</v>
      </c>
      <c r="BK68" s="136"/>
      <c r="BL68" s="136">
        <f>BL22+BL44</f>
        <v>8.51</v>
      </c>
      <c r="BM68" s="57"/>
      <c r="BN68" s="136">
        <f>BN22+BN44</f>
        <v>8.36</v>
      </c>
      <c r="BO68" s="57"/>
      <c r="BP68" s="136">
        <f>BP22+BP44</f>
        <v>7.92</v>
      </c>
      <c r="BQ68" s="57"/>
      <c r="BR68" s="13"/>
      <c r="BS68" s="13"/>
    </row>
    <row r="69" spans="1:72" ht="13.5" thickBot="1" x14ac:dyDescent="0.25">
      <c r="C69" s="64" t="s">
        <v>47</v>
      </c>
      <c r="F69" s="80">
        <f>F23+F45</f>
        <v>0</v>
      </c>
      <c r="G69" s="134"/>
      <c r="H69" s="82">
        <f>H23+H45</f>
        <v>106.61</v>
      </c>
      <c r="I69" s="133"/>
      <c r="J69" s="82">
        <f>J23+J45</f>
        <v>2.59</v>
      </c>
      <c r="K69" s="126"/>
      <c r="L69" s="82">
        <f>L23+L45</f>
        <v>39.01</v>
      </c>
      <c r="M69" s="84"/>
      <c r="N69" s="85">
        <f>N23+N45</f>
        <v>25.91</v>
      </c>
      <c r="O69" s="84"/>
      <c r="P69" s="84">
        <f>P23+P45</f>
        <v>0</v>
      </c>
      <c r="Q69" s="84"/>
      <c r="R69" s="84">
        <f>R23+R45</f>
        <v>0.67999999999999994</v>
      </c>
      <c r="S69" s="84"/>
      <c r="T69" s="84">
        <f>T23+T45</f>
        <v>5.8900000000000006</v>
      </c>
      <c r="U69" s="84"/>
      <c r="V69" s="86">
        <f>V23+V45</f>
        <v>37.28</v>
      </c>
      <c r="W69" s="133"/>
      <c r="X69" s="86">
        <f>X23+X45</f>
        <v>37.28</v>
      </c>
      <c r="Y69" s="86"/>
      <c r="Z69" s="86">
        <f>Z23+Z45</f>
        <v>8.27</v>
      </c>
      <c r="AA69" s="133"/>
      <c r="AB69" s="86">
        <f>AB23+AB45</f>
        <v>2.44</v>
      </c>
      <c r="AC69" s="86"/>
      <c r="AD69" s="135">
        <f>AD23+AD45</f>
        <v>0</v>
      </c>
      <c r="AE69" s="86"/>
      <c r="AF69" s="90">
        <f>AF23+AF45</f>
        <v>1.6700000000000002</v>
      </c>
      <c r="AG69" s="90"/>
      <c r="AH69" s="136">
        <f>AH23+AH45</f>
        <v>0</v>
      </c>
      <c r="AI69" s="133"/>
      <c r="AJ69" s="90">
        <f>AJ23+AJ45</f>
        <v>0</v>
      </c>
      <c r="AK69" s="91"/>
      <c r="AL69" s="91">
        <f>AL23+AL45</f>
        <v>0</v>
      </c>
      <c r="AM69" s="91"/>
      <c r="AN69" s="137">
        <f>AN23+AN45</f>
        <v>0</v>
      </c>
      <c r="AO69" s="137"/>
      <c r="AP69" s="57">
        <f>AP23+AP45</f>
        <v>3.57</v>
      </c>
      <c r="AQ69" s="57"/>
      <c r="AR69" s="57">
        <f>AR23+AR45</f>
        <v>8.8800000000000008</v>
      </c>
      <c r="AS69" s="57"/>
      <c r="AT69" s="136">
        <f>AT23+AT45</f>
        <v>0</v>
      </c>
      <c r="AU69" s="57"/>
      <c r="AV69" s="136">
        <f>AV23+AV45</f>
        <v>0</v>
      </c>
      <c r="AW69" s="57"/>
      <c r="AX69" s="136">
        <f>AX23+AX45</f>
        <v>0</v>
      </c>
      <c r="AY69" s="57"/>
      <c r="AZ69" s="136">
        <f>AZ23+AZ45</f>
        <v>0</v>
      </c>
      <c r="BA69" s="57"/>
      <c r="BB69" s="136">
        <f>BB23+BB45</f>
        <v>1.1399999999999999</v>
      </c>
      <c r="BC69" s="133"/>
      <c r="BD69" s="136">
        <f>BD23+BD45</f>
        <v>1.1399999999999999</v>
      </c>
      <c r="BE69" s="57"/>
      <c r="BF69" s="57">
        <f>BF23+BF45</f>
        <v>0</v>
      </c>
      <c r="BG69" s="57"/>
      <c r="BH69" s="136">
        <f>BH23+BH45</f>
        <v>9.6900000000000013</v>
      </c>
      <c r="BI69" s="57"/>
      <c r="BJ69" s="136">
        <f>BJ23+BJ45</f>
        <v>10</v>
      </c>
      <c r="BK69" s="136"/>
      <c r="BL69" s="136">
        <f>BL23+BL45</f>
        <v>10</v>
      </c>
      <c r="BM69" s="57"/>
      <c r="BN69" s="136">
        <f>BN23+BN45</f>
        <v>3.04</v>
      </c>
      <c r="BO69" s="57"/>
      <c r="BP69" s="57">
        <f>BP23+BP45</f>
        <v>0</v>
      </c>
      <c r="BQ69" s="57"/>
      <c r="BR69" s="13"/>
      <c r="BS69" s="13"/>
    </row>
    <row r="70" spans="1:72" ht="13.5" thickBot="1" x14ac:dyDescent="0.25">
      <c r="C70" s="64"/>
      <c r="D70" t="s">
        <v>44</v>
      </c>
      <c r="F70" s="81"/>
      <c r="G70" s="134"/>
      <c r="H70" s="89"/>
      <c r="I70" s="133"/>
      <c r="J70" s="89"/>
      <c r="K70" s="126"/>
      <c r="L70" s="89"/>
      <c r="M70" s="84"/>
      <c r="N70" s="84"/>
      <c r="O70" s="84"/>
      <c r="P70" s="84">
        <f>P24+P46</f>
        <v>131.12</v>
      </c>
      <c r="Q70" s="84"/>
      <c r="R70" s="84">
        <f>R24+R46</f>
        <v>0</v>
      </c>
      <c r="S70" s="84"/>
      <c r="T70" s="84">
        <f>T24+T46</f>
        <v>477.49</v>
      </c>
      <c r="U70" s="84"/>
      <c r="V70" s="86">
        <f>V24+V46</f>
        <v>0</v>
      </c>
      <c r="W70" s="133"/>
      <c r="X70" s="86">
        <f>X24+X46</f>
        <v>0</v>
      </c>
      <c r="Y70" s="86"/>
      <c r="Z70" s="135">
        <f>Z24+Z46</f>
        <v>0</v>
      </c>
      <c r="AA70" s="138"/>
      <c r="AB70" s="135">
        <f>AB24+AB46</f>
        <v>0</v>
      </c>
      <c r="AC70" s="135"/>
      <c r="AD70" s="135">
        <f>AD24+AD46</f>
        <v>0</v>
      </c>
      <c r="AE70" s="135"/>
      <c r="AF70" s="136">
        <f>AF24+AF46</f>
        <v>0</v>
      </c>
      <c r="AG70" s="90"/>
      <c r="AH70" s="90">
        <f>AH24+AH46</f>
        <v>266.44</v>
      </c>
      <c r="AI70" s="133"/>
      <c r="AJ70" s="90">
        <f>AJ24+AJ46</f>
        <v>0</v>
      </c>
      <c r="AK70" s="91"/>
      <c r="AL70" s="91">
        <f>AL24+AL46</f>
        <v>0</v>
      </c>
      <c r="AM70" s="91"/>
      <c r="AN70" s="137">
        <f>AN24+AN46</f>
        <v>0</v>
      </c>
      <c r="AO70" s="137"/>
      <c r="AP70" s="57">
        <f>AP24+AP46</f>
        <v>0</v>
      </c>
      <c r="AQ70" s="57"/>
      <c r="AR70" s="57">
        <f>AR24+AR46</f>
        <v>153.05000000000001</v>
      </c>
      <c r="AS70" s="57"/>
      <c r="AT70" s="136">
        <f>AT24+AT46</f>
        <v>713.19999999999993</v>
      </c>
      <c r="AU70" s="57"/>
      <c r="AV70" s="136">
        <f>AV24+AV46</f>
        <v>787.6899999999996</v>
      </c>
      <c r="AW70" s="57"/>
      <c r="AX70" s="136">
        <f>AX24+AX46</f>
        <v>776.04999999999927</v>
      </c>
      <c r="AY70" s="57"/>
      <c r="AZ70" s="136">
        <f>AZ24+AZ46</f>
        <v>743.82999999999811</v>
      </c>
      <c r="BA70" s="57"/>
      <c r="BB70" s="136">
        <f>BB24+BB46+BB25</f>
        <v>751.56</v>
      </c>
      <c r="BC70" s="133"/>
      <c r="BD70" s="136">
        <v>665.61</v>
      </c>
      <c r="BE70" s="57"/>
      <c r="BF70" s="136">
        <v>1086.23</v>
      </c>
      <c r="BG70" s="57"/>
      <c r="BH70" s="57">
        <v>0</v>
      </c>
      <c r="BI70" s="57"/>
      <c r="BJ70" s="57">
        <f>BJ24+BJ46+BJ25</f>
        <v>0</v>
      </c>
      <c r="BK70" s="136"/>
      <c r="BL70" s="57">
        <f>BL24+BL46+BL25</f>
        <v>0</v>
      </c>
      <c r="BM70" s="57"/>
      <c r="BN70" s="57">
        <f>BN24+BN46+BN25</f>
        <v>0</v>
      </c>
      <c r="BO70" s="57"/>
      <c r="BP70" s="57">
        <f>BP24+BP46+BP25</f>
        <v>0</v>
      </c>
      <c r="BQ70" s="57"/>
      <c r="BR70" s="13"/>
      <c r="BS70" s="13"/>
    </row>
    <row r="71" spans="1:72" s="13" customFormat="1" ht="18" customHeight="1" x14ac:dyDescent="0.2">
      <c r="C71" s="161"/>
      <c r="D71" s="13" t="s">
        <v>48</v>
      </c>
      <c r="F71" s="84">
        <f>SUM(F57:F69)</f>
        <v>15885.289999999999</v>
      </c>
      <c r="G71" s="93"/>
      <c r="H71" s="84">
        <f>ROUND(SUM(H57:H69),2)</f>
        <v>15966.1</v>
      </c>
      <c r="I71" s="94"/>
      <c r="J71" s="84">
        <f>ROUND(SUM(J57:J69),2)</f>
        <v>17025.2</v>
      </c>
      <c r="L71" s="84">
        <f>ROUND(SUM(L57:L69),2)</f>
        <v>18052.04</v>
      </c>
      <c r="M71" s="84"/>
      <c r="N71" s="84">
        <f>ROUND(SUM(N57:N69),2)</f>
        <v>17850.29</v>
      </c>
      <c r="O71" s="84"/>
      <c r="P71" s="205">
        <f>ROUND(SUM(P57:P70),2)</f>
        <v>17966.189999999999</v>
      </c>
      <c r="Q71" s="84"/>
      <c r="R71" s="205">
        <f>ROUND(SUM(R57:R70),2)</f>
        <v>17012.02</v>
      </c>
      <c r="S71" s="84"/>
      <c r="T71" s="205">
        <f>ROUND(SUM(T57:T70),2)</f>
        <v>17957.45</v>
      </c>
      <c r="U71" s="84"/>
      <c r="V71" s="206">
        <f>ROUND(SUM(V57:V70),2)</f>
        <v>18445.09</v>
      </c>
      <c r="W71" s="95"/>
      <c r="X71" s="206">
        <f>ROUND(SUM(X57:X70),2)</f>
        <v>18922.580000000002</v>
      </c>
      <c r="Y71" s="86"/>
      <c r="Z71" s="206">
        <f>ROUND(SUM(Z57:Z70),2)</f>
        <v>19871.349999999999</v>
      </c>
      <c r="AA71" s="95"/>
      <c r="AB71" s="206">
        <f>ROUND(SUM(AB57:AB70),2)</f>
        <v>20788.689999999999</v>
      </c>
      <c r="AC71" s="86"/>
      <c r="AD71" s="206">
        <f>ROUND(SUM(AD57:AD70),2)</f>
        <v>19289.88</v>
      </c>
      <c r="AE71" s="86"/>
      <c r="AF71" s="207">
        <f>ROUND(SUM(AF57:AF70),2)</f>
        <v>17739.48</v>
      </c>
      <c r="AG71" s="90"/>
      <c r="AH71" s="207">
        <f>ROUND(SUM(AH57:AH70),2)</f>
        <v>16932.22</v>
      </c>
      <c r="AI71" s="95"/>
      <c r="AJ71" s="207">
        <f>ROUND(SUM(AJ57:AJ70),2)</f>
        <v>9417.36</v>
      </c>
      <c r="AK71" s="91"/>
      <c r="AL71" s="208">
        <f>ROUND(SUM(AL57:AL70),2)</f>
        <v>17864.07</v>
      </c>
      <c r="AM71" s="91"/>
      <c r="AN71" s="208">
        <f>ROUND(SUM(AN57:AN70),2)</f>
        <v>17777.400000000001</v>
      </c>
      <c r="AO71" s="91"/>
      <c r="AP71" s="207">
        <f>ROUND(SUM(AP57:AP70),2)</f>
        <v>17969.48</v>
      </c>
      <c r="AQ71" s="90"/>
      <c r="AR71" s="207">
        <f>ROUND(SUM(AR57:AR70),2)</f>
        <v>18104.93</v>
      </c>
      <c r="AS71" s="90"/>
      <c r="AT71" s="207">
        <f>ROUND(SUM(AT57:AT70),2)</f>
        <v>18652.599999999999</v>
      </c>
      <c r="AU71" s="90"/>
      <c r="AV71" s="207">
        <f>ROUND(SUM(AV57:AV70),2)</f>
        <v>18652.599999999999</v>
      </c>
      <c r="AW71" s="90"/>
      <c r="AX71" s="207">
        <f>ROUND(SUM(AX57:AX70),2)</f>
        <v>18652.599999999999</v>
      </c>
      <c r="AY71" s="90"/>
      <c r="AZ71" s="207">
        <f>ROUND(SUM(AZ57:AZ70),2)</f>
        <v>18644.419999999998</v>
      </c>
      <c r="BA71" s="90"/>
      <c r="BB71" s="207">
        <f>ROUND(SUM(BB57:BB70),2)</f>
        <v>18645.12</v>
      </c>
      <c r="BD71" s="207">
        <f>ROUND(SUM(BD57:BD70),2)</f>
        <v>18643.14</v>
      </c>
      <c r="BE71" s="90"/>
      <c r="BF71" s="207">
        <f>ROUND(SUM(BF57:BF70),2)</f>
        <v>18959.45</v>
      </c>
      <c r="BG71" s="90"/>
      <c r="BH71" s="207">
        <f>BH26+BH48</f>
        <v>17042.66</v>
      </c>
      <c r="BI71" s="90"/>
      <c r="BJ71" s="207">
        <f>ROUND(SUM(BJ57:BJ70),2)</f>
        <v>17530.099999999999</v>
      </c>
      <c r="BK71" s="90"/>
      <c r="BL71" s="207">
        <f>ROUND(SUM(BL57:BL70),2)</f>
        <v>17604.39</v>
      </c>
      <c r="BM71" s="90"/>
      <c r="BN71" s="207">
        <f>ROUND(SUM(BN57:BN70),2)</f>
        <v>17555.580000000002</v>
      </c>
      <c r="BO71" s="90"/>
      <c r="BP71" s="207">
        <f>ROUND(SUM(BP57:BP70),2)</f>
        <v>16554.04</v>
      </c>
      <c r="BQ71" s="90"/>
      <c r="BR71" s="97"/>
      <c r="BS71" s="97"/>
    </row>
    <row r="72" spans="1:72" ht="6.95" customHeight="1" x14ac:dyDescent="0.2">
      <c r="C72" s="64"/>
      <c r="F72" s="84"/>
      <c r="G72" s="93"/>
      <c r="H72" s="84"/>
      <c r="I72" s="94"/>
      <c r="J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6"/>
      <c r="W72" s="95"/>
      <c r="X72" s="95"/>
      <c r="Y72" s="95"/>
      <c r="Z72" s="95"/>
      <c r="AA72" s="95"/>
      <c r="AB72" s="95"/>
      <c r="AC72" s="95"/>
      <c r="AD72" s="95"/>
      <c r="AE72" s="95"/>
      <c r="AF72" s="139"/>
      <c r="AG72" s="139"/>
      <c r="AH72" s="139"/>
      <c r="AI72" s="95"/>
      <c r="AJ72" s="139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95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88"/>
      <c r="BS72" s="98"/>
    </row>
    <row r="73" spans="1:72" ht="4.5" customHeight="1" x14ac:dyDescent="0.2">
      <c r="C73" s="64"/>
      <c r="F73" s="84"/>
      <c r="G73" s="93"/>
      <c r="H73" s="84"/>
      <c r="I73" s="9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6"/>
      <c r="W73" s="95"/>
      <c r="X73" s="95"/>
      <c r="Y73" s="95"/>
      <c r="Z73" s="95"/>
      <c r="AA73" s="95"/>
      <c r="AB73" s="95"/>
      <c r="AC73" s="95"/>
      <c r="AD73" s="95"/>
      <c r="AE73" s="95"/>
      <c r="AF73" s="139"/>
      <c r="AG73" s="139"/>
      <c r="AH73" s="139"/>
      <c r="AI73" s="95"/>
      <c r="AJ73" s="95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95"/>
      <c r="BD73" s="141"/>
      <c r="BE73" s="141"/>
      <c r="BF73" s="140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2"/>
      <c r="BS73" s="142"/>
    </row>
    <row r="74" spans="1:72" ht="13.5" thickBot="1" x14ac:dyDescent="0.25">
      <c r="C74" s="64"/>
      <c r="D74" s="15" t="s">
        <v>50</v>
      </c>
      <c r="E74" s="51"/>
      <c r="F74" s="84"/>
      <c r="G74" s="93"/>
      <c r="H74" s="84"/>
      <c r="I74" s="94"/>
      <c r="J74" s="84"/>
      <c r="K74" s="51"/>
      <c r="L74" s="84"/>
      <c r="M74" s="84"/>
      <c r="N74" s="84"/>
      <c r="O74" s="84"/>
      <c r="P74" s="84"/>
      <c r="Q74" s="84"/>
      <c r="R74" s="118">
        <v>17096.150000000001</v>
      </c>
      <c r="S74" s="84"/>
      <c r="T74" s="118">
        <v>18049.29</v>
      </c>
      <c r="U74" s="118"/>
      <c r="V74" s="143">
        <f>12864.4+5694.26</f>
        <v>18558.66</v>
      </c>
      <c r="W74" s="95"/>
      <c r="X74" s="143">
        <f>X29+X51</f>
        <v>19036.145</v>
      </c>
      <c r="Y74" s="95"/>
      <c r="Z74" s="143">
        <f>Z29+Z51</f>
        <v>20006.78</v>
      </c>
      <c r="AA74" s="95"/>
      <c r="AB74" s="143">
        <f>AB29+AB51</f>
        <v>20897.03</v>
      </c>
      <c r="AC74" s="143"/>
      <c r="AD74" s="143">
        <f>AD29+AD51</f>
        <v>19384.169999999998</v>
      </c>
      <c r="AE74" s="143"/>
      <c r="AF74" s="144">
        <f>AF29+AF51</f>
        <v>17818.669999999998</v>
      </c>
      <c r="AG74" s="144"/>
      <c r="AH74" s="144">
        <f>AH29+AH51</f>
        <v>17021.059999999998</v>
      </c>
      <c r="AI74" s="95"/>
      <c r="AJ74" s="144"/>
      <c r="AK74" s="145"/>
      <c r="AL74" s="144">
        <f>AL29+AL51</f>
        <v>17938.88</v>
      </c>
      <c r="AM74" s="144"/>
      <c r="AN74" s="144">
        <f>AN29+AN51</f>
        <v>17852.21</v>
      </c>
      <c r="AO74" s="144"/>
      <c r="AP74" s="144">
        <f>AP29+AP51</f>
        <v>18059.89</v>
      </c>
      <c r="AQ74" s="144"/>
      <c r="AR74" s="144">
        <f>AR29+AR51</f>
        <v>18197.190000000002</v>
      </c>
      <c r="AS74" s="144"/>
      <c r="AT74" s="144">
        <f>AT29+AT51</f>
        <v>18743</v>
      </c>
      <c r="AU74" s="144"/>
      <c r="AV74" s="144">
        <f>AV29+AV51</f>
        <v>18743</v>
      </c>
      <c r="AW74" s="144"/>
      <c r="AX74" s="144">
        <f>AX29+AX51</f>
        <v>18743</v>
      </c>
      <c r="AY74" s="144"/>
      <c r="AZ74" s="144">
        <f>AZ29+AZ51</f>
        <v>18749.509999999998</v>
      </c>
      <c r="BA74" s="144"/>
      <c r="BB74" s="144">
        <f>BB29+BB51</f>
        <v>18749.510000000002</v>
      </c>
      <c r="BC74" s="95"/>
      <c r="BD74" s="209">
        <f>BD29+BD51</f>
        <v>18749.510000000002</v>
      </c>
      <c r="BE74" s="144"/>
      <c r="BF74" s="209">
        <f>BF29+BF51</f>
        <v>19085.150000000001</v>
      </c>
      <c r="BG74" s="144"/>
      <c r="BH74" s="209">
        <f>BH29+BH51</f>
        <v>17180.48</v>
      </c>
      <c r="BI74" s="144"/>
      <c r="BJ74" s="144">
        <f>BJ29+BJ51</f>
        <v>17650.36</v>
      </c>
      <c r="BK74" s="144"/>
      <c r="BL74" s="144">
        <f>BL29+BL51</f>
        <v>17747.419999999998</v>
      </c>
      <c r="BM74" s="144"/>
      <c r="BN74" s="209">
        <f>BN29+BN51</f>
        <v>17696.830000000002</v>
      </c>
      <c r="BO74" s="144"/>
      <c r="BP74" s="209">
        <f>BP29+BP51</f>
        <v>16687.505675276032</v>
      </c>
      <c r="BQ74" s="144"/>
      <c r="BR74" s="92">
        <f>BR29+BR51</f>
        <v>17902</v>
      </c>
      <c r="BS74" s="97"/>
    </row>
    <row r="75" spans="1:72" ht="18.75" customHeight="1" thickTop="1" x14ac:dyDescent="0.2">
      <c r="C75" s="64"/>
      <c r="D75" s="146" t="s">
        <v>54</v>
      </c>
      <c r="F75" s="84"/>
      <c r="G75" s="93"/>
      <c r="H75" s="84"/>
      <c r="I75" s="94"/>
      <c r="J75" s="84"/>
      <c r="L75" s="84"/>
      <c r="M75" s="84"/>
      <c r="N75" s="84"/>
      <c r="O75" s="84"/>
      <c r="P75" s="101"/>
      <c r="Q75" s="84"/>
      <c r="R75" s="101"/>
      <c r="S75" s="84"/>
      <c r="T75" s="147">
        <f>T74</f>
        <v>18049.29</v>
      </c>
      <c r="U75" s="148"/>
      <c r="V75" s="83">
        <v>18382.18</v>
      </c>
      <c r="W75" s="94"/>
      <c r="X75" s="133"/>
      <c r="Y75" s="94"/>
      <c r="Z75" s="133">
        <v>18774.93</v>
      </c>
      <c r="AA75" s="94"/>
      <c r="AB75" s="133">
        <v>17908.080000000002</v>
      </c>
      <c r="AC75" s="94"/>
      <c r="AD75" s="133">
        <v>18267.900000000001</v>
      </c>
      <c r="AE75" s="133"/>
      <c r="AF75" s="149">
        <v>16803.728999999999</v>
      </c>
      <c r="AG75" s="149"/>
      <c r="AH75" s="149">
        <v>17021.060000000001</v>
      </c>
      <c r="AI75" s="150"/>
      <c r="AJ75" s="149"/>
      <c r="AK75" s="151"/>
      <c r="AL75" s="149">
        <v>17398</v>
      </c>
      <c r="AM75" s="149"/>
      <c r="AN75" s="149">
        <v>17398</v>
      </c>
      <c r="AO75" s="149"/>
      <c r="AP75" s="149">
        <v>17473.63</v>
      </c>
      <c r="AQ75" s="149"/>
      <c r="AR75" s="149">
        <v>18197.189999999999</v>
      </c>
      <c r="AS75" s="149"/>
      <c r="AT75" s="149">
        <v>18743</v>
      </c>
      <c r="AU75" s="149"/>
      <c r="AV75" s="149">
        <v>18743</v>
      </c>
      <c r="AW75" s="149"/>
      <c r="AX75" s="149">
        <v>18743</v>
      </c>
      <c r="AY75" s="149"/>
      <c r="AZ75" s="149">
        <v>18743</v>
      </c>
      <c r="BA75" s="149"/>
      <c r="BB75" s="149">
        <v>18749.509999999998</v>
      </c>
      <c r="BC75" s="150"/>
      <c r="BD75" s="149">
        <v>18749.509999999998</v>
      </c>
      <c r="BE75" s="149"/>
      <c r="BF75" s="149">
        <v>19085.150000000001</v>
      </c>
      <c r="BG75" s="149"/>
      <c r="BH75" s="149">
        <v>18762</v>
      </c>
      <c r="BI75" s="149"/>
      <c r="BJ75" s="149"/>
      <c r="BK75" s="149"/>
      <c r="BL75" s="149"/>
      <c r="BM75" s="149"/>
      <c r="BN75" s="149"/>
      <c r="BO75" s="149"/>
      <c r="BP75" s="149"/>
      <c r="BQ75" s="149"/>
      <c r="BR75" s="194"/>
      <c r="BS75" s="164"/>
    </row>
    <row r="76" spans="1:72" ht="17.25" customHeight="1" x14ac:dyDescent="0.2">
      <c r="C76" s="64"/>
      <c r="D76" s="8" t="s">
        <v>51</v>
      </c>
      <c r="F76" s="84"/>
      <c r="G76" s="93"/>
      <c r="H76" s="84"/>
      <c r="I76" s="94"/>
      <c r="J76" s="84"/>
      <c r="L76" s="84"/>
      <c r="M76" s="84"/>
      <c r="N76" s="84"/>
      <c r="O76" s="84"/>
      <c r="P76" s="101"/>
      <c r="Q76" s="84"/>
      <c r="R76" s="101"/>
      <c r="S76" s="84"/>
      <c r="T76" s="101"/>
      <c r="U76" s="148"/>
      <c r="V76" s="152"/>
      <c r="W76" s="94"/>
      <c r="X76" s="94"/>
      <c r="Y76" s="94"/>
      <c r="Z76" s="153"/>
      <c r="AA76" s="94"/>
      <c r="AB76" s="153">
        <f>(AB74-Z74)/Z74</f>
        <v>4.4497415376187475E-2</v>
      </c>
      <c r="AC76" s="154"/>
      <c r="AD76" s="153">
        <f>(AD74-AB74)/AB74</f>
        <v>-7.2395933776235225E-2</v>
      </c>
      <c r="AE76" s="153"/>
      <c r="AF76" s="155">
        <f>(AF74-AD74)/AD74</f>
        <v>-8.076177623287456E-2</v>
      </c>
      <c r="AG76" s="155"/>
      <c r="AH76" s="155">
        <f>(AH74-AF74)/AF74</f>
        <v>-4.4762600126721057E-2</v>
      </c>
      <c r="AI76" s="94"/>
      <c r="AJ76" s="155"/>
      <c r="AK76" s="156"/>
      <c r="AL76" s="155">
        <f>(AL74-AH74)/AH74</f>
        <v>5.3922611165227279E-2</v>
      </c>
      <c r="AM76" s="155"/>
      <c r="AN76" s="155">
        <f>(AN74-AH74)/AH74</f>
        <v>4.8830683870452342E-2</v>
      </c>
      <c r="AO76" s="155"/>
      <c r="AP76" s="155">
        <f>(AP74-AH74)/AH74</f>
        <v>6.1032039132698078E-2</v>
      </c>
      <c r="AQ76" s="155"/>
      <c r="AR76" s="155">
        <f>(AR74-AP74)/AP74</f>
        <v>7.6024826286318972E-3</v>
      </c>
      <c r="AS76" s="155"/>
      <c r="AT76" s="155">
        <f>(AT74-AR74)/AR74</f>
        <v>2.9994191410871545E-2</v>
      </c>
      <c r="AU76" s="155"/>
      <c r="AV76" s="155">
        <f>(AV74-AT74)/AT74</f>
        <v>0</v>
      </c>
      <c r="AW76" s="155"/>
      <c r="AX76" s="155">
        <f>(AX74-AV74)/AV74</f>
        <v>0</v>
      </c>
      <c r="AY76" s="155"/>
      <c r="AZ76" s="155">
        <f>(AZ74-AX74)/AX74</f>
        <v>3.4732966974328547E-4</v>
      </c>
      <c r="BA76" s="155"/>
      <c r="BB76" s="155">
        <f>(BB74-AZ74)/AZ74</f>
        <v>1.9403060704475548E-16</v>
      </c>
      <c r="BC76" s="94"/>
      <c r="BD76" s="202">
        <f>(BD74-AR74)/AR74</f>
        <v>3.0351938953211987E-2</v>
      </c>
      <c r="BE76" s="203"/>
      <c r="BF76" s="202">
        <f>(BF75-BD75)/BD75</f>
        <v>1.7901267819799189E-2</v>
      </c>
      <c r="BG76" s="203"/>
      <c r="BH76" s="198">
        <f>(BH74-BF74)/BF74</f>
        <v>-9.9798534462658225E-2</v>
      </c>
      <c r="BI76" s="203"/>
      <c r="BJ76" s="203">
        <f>(BJ74-BH74)/BH74</f>
        <v>2.7349643316135583E-2</v>
      </c>
      <c r="BK76" s="203"/>
      <c r="BL76" s="203">
        <f>(BL74-BH74)/BH74</f>
        <v>3.2999078023431168E-2</v>
      </c>
      <c r="BM76" s="203"/>
      <c r="BN76" s="202">
        <f>(BN74-BH74)/BH74</f>
        <v>3.0054457151371918E-2</v>
      </c>
      <c r="BO76" s="203"/>
      <c r="BP76" s="198">
        <f>(BP74-BN74)/BN74</f>
        <v>-5.70341877457132E-2</v>
      </c>
      <c r="BQ76" s="155"/>
      <c r="BR76" s="193"/>
      <c r="BS76" s="157"/>
    </row>
    <row r="77" spans="1:72" ht="10.5" customHeight="1" x14ac:dyDescent="0.2">
      <c r="A77" s="13"/>
      <c r="B77" s="13"/>
      <c r="C77" s="161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58"/>
      <c r="AG77" s="158"/>
      <c r="AH77" s="158"/>
      <c r="AI77" s="13"/>
      <c r="AJ77" s="158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3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3"/>
      <c r="BS77" s="13"/>
    </row>
    <row r="78" spans="1:72" ht="10.5" customHeight="1" x14ac:dyDescent="0.2">
      <c r="C78" s="64"/>
      <c r="AE78" s="10"/>
      <c r="AF78" s="160"/>
      <c r="AG78" s="160"/>
      <c r="AH78" s="160"/>
      <c r="AJ78" s="160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13"/>
      <c r="BS78" s="13"/>
    </row>
    <row r="79" spans="1:72" ht="6" customHeight="1" x14ac:dyDescent="0.2">
      <c r="A79" s="13"/>
      <c r="B79" s="13"/>
      <c r="C79" s="161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28"/>
      <c r="W79" s="128"/>
      <c r="X79" s="128"/>
      <c r="Y79" s="128"/>
      <c r="Z79" s="128"/>
      <c r="AA79" s="128"/>
      <c r="AB79" s="128"/>
      <c r="AC79" s="128"/>
      <c r="AD79" s="128"/>
      <c r="AE79" s="13"/>
      <c r="AF79" s="162"/>
      <c r="AG79" s="162"/>
      <c r="AH79" s="162"/>
      <c r="AI79" s="13"/>
      <c r="AJ79" s="158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3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81"/>
      <c r="BS79" s="81"/>
    </row>
  </sheetData>
  <mergeCells count="3">
    <mergeCell ref="C25:D25"/>
    <mergeCell ref="C47:D47"/>
    <mergeCell ref="V4:X4"/>
  </mergeCells>
  <printOptions horizontalCentered="1"/>
  <pageMargins left="0.17" right="0.17" top="0.26" bottom="0.42" header="0.31" footer="0.06"/>
  <pageSetup scale="74" fitToHeight="0" orientation="portrait" r:id="rId1"/>
  <headerFooter alignWithMargins="0">
    <oddFooter>&amp;L&amp;8sd &amp;D&amp;C&amp;8&amp;Z
&amp;F  &amp;A&amp;R&amp;8&amp;P</oddFooter>
  </headerFooter>
  <ignoredErrors>
    <ignoredError sqref="BP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 of 1-9-2020</vt:lpstr>
      <vt:lpstr>'As of 1-9-2020'!Print_Area</vt:lpstr>
    </vt:vector>
  </TitlesOfParts>
  <Company>Grossmont-Cuyamaca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Fujimoto</dc:creator>
  <cp:lastModifiedBy>Windows User</cp:lastModifiedBy>
  <cp:lastPrinted>2020-01-10T15:34:44Z</cp:lastPrinted>
  <dcterms:created xsi:type="dcterms:W3CDTF">2015-07-29T16:41:20Z</dcterms:created>
  <dcterms:modified xsi:type="dcterms:W3CDTF">2020-01-17T17:18:46Z</dcterms:modified>
</cp:coreProperties>
</file>